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 10" sheetId="1" r:id="rId1"/>
    <sheet name="ассортимен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71" i="3"/>
  <c r="K170"/>
  <c r="J169" i="1"/>
  <c r="J168"/>
  <c r="G134"/>
  <c r="F134"/>
  <c r="E134"/>
  <c r="D134"/>
  <c r="C140"/>
  <c r="C176" i="3"/>
  <c r="C174" i="1"/>
  <c r="G172" i="3"/>
  <c r="F172"/>
  <c r="E172"/>
  <c r="D172"/>
  <c r="D152" i="1"/>
  <c r="E152"/>
  <c r="F152"/>
  <c r="G152"/>
  <c r="G53"/>
  <c r="G30"/>
  <c r="K24"/>
  <c r="G179"/>
  <c r="F179"/>
  <c r="E179"/>
  <c r="D179"/>
  <c r="F169"/>
  <c r="E169"/>
  <c r="D169"/>
  <c r="G168"/>
  <c r="F168"/>
  <c r="E168"/>
  <c r="D168"/>
  <c r="F159"/>
  <c r="E159"/>
  <c r="D159"/>
  <c r="G159"/>
  <c r="G75"/>
  <c r="G48"/>
  <c r="G171" i="3"/>
  <c r="G164"/>
  <c r="F77"/>
  <c r="G50"/>
  <c r="C18"/>
  <c r="C27"/>
  <c r="G22"/>
  <c r="D30" i="1"/>
  <c r="E30"/>
  <c r="F30"/>
  <c r="F189" i="3" l="1"/>
  <c r="D189"/>
  <c r="G147"/>
  <c r="F40"/>
  <c r="E40"/>
  <c r="D40"/>
  <c r="G40"/>
  <c r="G60"/>
  <c r="J64"/>
  <c r="F60"/>
  <c r="E60"/>
  <c r="D60"/>
  <c r="G93"/>
  <c r="F93"/>
  <c r="E93"/>
  <c r="D93"/>
  <c r="C93"/>
  <c r="F147"/>
  <c r="E147"/>
  <c r="D147"/>
  <c r="C147"/>
  <c r="G182"/>
  <c r="F182"/>
  <c r="E182"/>
  <c r="D182"/>
  <c r="E186"/>
  <c r="E185"/>
  <c r="F171"/>
  <c r="E171"/>
  <c r="D171"/>
  <c r="E167"/>
  <c r="E166"/>
  <c r="G155"/>
  <c r="F155"/>
  <c r="E155"/>
  <c r="D155"/>
  <c r="E150"/>
  <c r="G137"/>
  <c r="F137"/>
  <c r="E137"/>
  <c r="D137"/>
  <c r="E131"/>
  <c r="E130"/>
  <c r="G119"/>
  <c r="F119"/>
  <c r="E119"/>
  <c r="D119"/>
  <c r="E115"/>
  <c r="E114"/>
  <c r="G101"/>
  <c r="F101"/>
  <c r="E101"/>
  <c r="D101"/>
  <c r="E97"/>
  <c r="E96"/>
  <c r="G84"/>
  <c r="F84"/>
  <c r="E84"/>
  <c r="D84"/>
  <c r="E80"/>
  <c r="E79"/>
  <c r="G68"/>
  <c r="F68"/>
  <c r="E68"/>
  <c r="D68"/>
  <c r="E44"/>
  <c r="E43"/>
  <c r="F39"/>
  <c r="E63"/>
  <c r="E64"/>
  <c r="G30"/>
  <c r="F30"/>
  <c r="E30"/>
  <c r="D30"/>
  <c r="G12"/>
  <c r="F12"/>
  <c r="E12"/>
  <c r="D12"/>
  <c r="E151" l="1"/>
  <c r="E152" s="1"/>
  <c r="E132"/>
  <c r="E116"/>
  <c r="E98"/>
  <c r="E65"/>
  <c r="E45"/>
  <c r="G27"/>
  <c r="F27"/>
  <c r="D27"/>
  <c r="E26"/>
  <c r="E25"/>
  <c r="F18"/>
  <c r="D18"/>
  <c r="G18"/>
  <c r="E18"/>
  <c r="C187"/>
  <c r="G187"/>
  <c r="F187"/>
  <c r="E187"/>
  <c r="D187"/>
  <c r="G176"/>
  <c r="F176"/>
  <c r="E176"/>
  <c r="D176"/>
  <c r="C168"/>
  <c r="G168"/>
  <c r="F168"/>
  <c r="E168"/>
  <c r="D168"/>
  <c r="C160"/>
  <c r="C189" s="1"/>
  <c r="G160"/>
  <c r="F160"/>
  <c r="E160"/>
  <c r="D160"/>
  <c r="C152"/>
  <c r="G152"/>
  <c r="F152"/>
  <c r="D152"/>
  <c r="C143"/>
  <c r="G143"/>
  <c r="F143"/>
  <c r="E143"/>
  <c r="D143"/>
  <c r="C132"/>
  <c r="G132"/>
  <c r="F132"/>
  <c r="D132"/>
  <c r="C124"/>
  <c r="G124"/>
  <c r="F124"/>
  <c r="E124"/>
  <c r="D124"/>
  <c r="G116"/>
  <c r="F116"/>
  <c r="D116"/>
  <c r="C116"/>
  <c r="C107"/>
  <c r="G107"/>
  <c r="F107"/>
  <c r="E107"/>
  <c r="D107"/>
  <c r="C98"/>
  <c r="G98"/>
  <c r="F98"/>
  <c r="D98"/>
  <c r="C89"/>
  <c r="G89"/>
  <c r="F89"/>
  <c r="E89"/>
  <c r="D89"/>
  <c r="C81"/>
  <c r="G81"/>
  <c r="F81"/>
  <c r="E81"/>
  <c r="D81"/>
  <c r="C73"/>
  <c r="G73"/>
  <c r="F73"/>
  <c r="E73"/>
  <c r="D73"/>
  <c r="C65"/>
  <c r="G65"/>
  <c r="F65"/>
  <c r="D65"/>
  <c r="G56"/>
  <c r="F56"/>
  <c r="E56"/>
  <c r="D56"/>
  <c r="C56"/>
  <c r="C45"/>
  <c r="F45"/>
  <c r="G45"/>
  <c r="D45"/>
  <c r="C35"/>
  <c r="G35"/>
  <c r="F35"/>
  <c r="E35"/>
  <c r="D35"/>
  <c r="G189" l="1"/>
  <c r="D191"/>
  <c r="F191"/>
  <c r="C191"/>
  <c r="E27"/>
  <c r="E191" s="1"/>
  <c r="E189"/>
  <c r="G191"/>
  <c r="G177" i="1"/>
  <c r="F177"/>
  <c r="E177"/>
  <c r="D177"/>
  <c r="G160"/>
  <c r="F160"/>
  <c r="E160"/>
  <c r="D160"/>
  <c r="G143"/>
  <c r="F143"/>
  <c r="E143"/>
  <c r="D143"/>
  <c r="G125"/>
  <c r="F125"/>
  <c r="E125"/>
  <c r="D125"/>
  <c r="G108"/>
  <c r="F108"/>
  <c r="E108"/>
  <c r="D108"/>
  <c r="C108"/>
  <c r="G90"/>
  <c r="F90"/>
  <c r="E90"/>
  <c r="D90"/>
  <c r="G74"/>
  <c r="F74"/>
  <c r="E74"/>
  <c r="D74"/>
  <c r="G57"/>
  <c r="F57"/>
  <c r="E57"/>
  <c r="D57"/>
  <c r="G38"/>
  <c r="F39"/>
  <c r="E38"/>
  <c r="D38"/>
  <c r="G21"/>
  <c r="F21"/>
  <c r="E21"/>
  <c r="D21"/>
  <c r="C183" l="1"/>
  <c r="E182"/>
  <c r="G178"/>
  <c r="F178"/>
  <c r="E178"/>
  <c r="D178"/>
  <c r="G176"/>
  <c r="G183" s="1"/>
  <c r="F176"/>
  <c r="F183" s="1"/>
  <c r="E176"/>
  <c r="D176"/>
  <c r="D183" s="1"/>
  <c r="G169"/>
  <c r="G174" s="1"/>
  <c r="F174"/>
  <c r="E174"/>
  <c r="D174"/>
  <c r="G165"/>
  <c r="F165"/>
  <c r="D165"/>
  <c r="C165"/>
  <c r="E164"/>
  <c r="E165" s="1"/>
  <c r="C157"/>
  <c r="G157"/>
  <c r="F157"/>
  <c r="E157"/>
  <c r="D157"/>
  <c r="C149"/>
  <c r="E148"/>
  <c r="G145"/>
  <c r="F145"/>
  <c r="E145"/>
  <c r="D145"/>
  <c r="G144"/>
  <c r="F144"/>
  <c r="F149" s="1"/>
  <c r="E144"/>
  <c r="D144"/>
  <c r="D149" s="1"/>
  <c r="G140"/>
  <c r="F140"/>
  <c r="E140"/>
  <c r="D140"/>
  <c r="C130"/>
  <c r="E129"/>
  <c r="G126"/>
  <c r="G130" s="1"/>
  <c r="F126"/>
  <c r="F130" s="1"/>
  <c r="E126"/>
  <c r="D126"/>
  <c r="D130" s="1"/>
  <c r="C122"/>
  <c r="G117"/>
  <c r="G122" s="1"/>
  <c r="F117"/>
  <c r="F122" s="1"/>
  <c r="E117"/>
  <c r="E122" s="1"/>
  <c r="D117"/>
  <c r="D122" s="1"/>
  <c r="C114"/>
  <c r="E113"/>
  <c r="G110"/>
  <c r="F110"/>
  <c r="E110"/>
  <c r="D110"/>
  <c r="G109"/>
  <c r="G114" s="1"/>
  <c r="F109"/>
  <c r="F114" s="1"/>
  <c r="E109"/>
  <c r="D109"/>
  <c r="D114" s="1"/>
  <c r="C105"/>
  <c r="G99"/>
  <c r="G105" s="1"/>
  <c r="F99"/>
  <c r="F105" s="1"/>
  <c r="E99"/>
  <c r="E105" s="1"/>
  <c r="D99"/>
  <c r="D105" s="1"/>
  <c r="C96"/>
  <c r="E95"/>
  <c r="G92"/>
  <c r="G96" s="1"/>
  <c r="F92"/>
  <c r="F96" s="1"/>
  <c r="E92"/>
  <c r="D92"/>
  <c r="D96" s="1"/>
  <c r="C87"/>
  <c r="G82"/>
  <c r="G87" s="1"/>
  <c r="F82"/>
  <c r="F87" s="1"/>
  <c r="E82"/>
  <c r="E87" s="1"/>
  <c r="D82"/>
  <c r="D87" s="1"/>
  <c r="C79"/>
  <c r="E78"/>
  <c r="G79"/>
  <c r="F75"/>
  <c r="F79" s="1"/>
  <c r="E75"/>
  <c r="D75"/>
  <c r="D79" s="1"/>
  <c r="C71"/>
  <c r="G66"/>
  <c r="G71" s="1"/>
  <c r="F66"/>
  <c r="F71" s="1"/>
  <c r="E66"/>
  <c r="E71" s="1"/>
  <c r="D66"/>
  <c r="D71" s="1"/>
  <c r="C63"/>
  <c r="E62"/>
  <c r="G59"/>
  <c r="G63" s="1"/>
  <c r="F59"/>
  <c r="F63" s="1"/>
  <c r="E59"/>
  <c r="D59"/>
  <c r="D63" s="1"/>
  <c r="G54"/>
  <c r="F54"/>
  <c r="E54"/>
  <c r="D54"/>
  <c r="C54"/>
  <c r="C45"/>
  <c r="E44"/>
  <c r="G41"/>
  <c r="G45" s="1"/>
  <c r="F41"/>
  <c r="F45" s="1"/>
  <c r="E41"/>
  <c r="D41"/>
  <c r="D45" s="1"/>
  <c r="C35"/>
  <c r="G35"/>
  <c r="F35"/>
  <c r="E35"/>
  <c r="D35"/>
  <c r="G27"/>
  <c r="F27"/>
  <c r="D27"/>
  <c r="C27"/>
  <c r="E26"/>
  <c r="E27" s="1"/>
  <c r="C18"/>
  <c r="G12"/>
  <c r="G18" s="1"/>
  <c r="F12"/>
  <c r="F18" s="1"/>
  <c r="E12"/>
  <c r="E18" s="1"/>
  <c r="D12"/>
  <c r="D18" s="1"/>
  <c r="E130" l="1"/>
  <c r="E96"/>
  <c r="E183"/>
  <c r="G149"/>
  <c r="E45"/>
  <c r="E79"/>
  <c r="E63"/>
  <c r="E114"/>
  <c r="E149"/>
</calcChain>
</file>

<file path=xl/sharedStrings.xml><?xml version="1.0" encoding="utf-8"?>
<sst xmlns="http://schemas.openxmlformats.org/spreadsheetml/2006/main" count="810" uniqueCount="266">
  <si>
    <t>УТВРЖДАЮ</t>
  </si>
  <si>
    <t>Директор МАОУ " Лесновская ООШ"</t>
  </si>
  <si>
    <t xml:space="preserve">                            С. О. Мусатов</t>
  </si>
  <si>
    <t>Примерное десятидневное меню</t>
  </si>
  <si>
    <t xml:space="preserve">День 1 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</si>
  <si>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</si>
  <si>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</si>
  <si>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</si>
  <si>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</si>
  <si>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>№ рец.</t>
  </si>
  <si>
    <t>Б</t>
  </si>
  <si>
    <t>Ж</t>
  </si>
  <si>
    <t>У</t>
  </si>
  <si>
    <t xml:space="preserve">Завтрак  </t>
  </si>
  <si>
    <t>Каша гречнева молочная</t>
  </si>
  <si>
    <t>183.МТ2011</t>
  </si>
  <si>
    <t>Чай с сахаром</t>
  </si>
  <si>
    <t>376.МТ2011</t>
  </si>
  <si>
    <t>Хлеб пшеничный</t>
  </si>
  <si>
    <t>ПР</t>
  </si>
  <si>
    <t>14.МТ2011</t>
  </si>
  <si>
    <t>Сыр российский (порциями)</t>
  </si>
  <si>
    <t>15.МТ2011</t>
  </si>
  <si>
    <t>яблоко</t>
  </si>
  <si>
    <t xml:space="preserve">Итого </t>
  </si>
  <si>
    <t xml:space="preserve">Обед    </t>
  </si>
  <si>
    <t>Огурцы свежие  в нарезке</t>
  </si>
  <si>
    <t>71.МТ2011</t>
  </si>
  <si>
    <t>Суп гороховый</t>
  </si>
  <si>
    <t>119.МТ2011</t>
  </si>
  <si>
    <t>Биточки с соусом сметанным с томатом</t>
  </si>
  <si>
    <t>268, 331.МТ2011</t>
  </si>
  <si>
    <t>Овощное рагу</t>
  </si>
  <si>
    <t>143.МТ2011</t>
  </si>
  <si>
    <t>Сок фруктовый (яблочный)</t>
  </si>
  <si>
    <t>389.МТ2011</t>
  </si>
  <si>
    <t>Хлеб ржано-пшеничный</t>
  </si>
  <si>
    <t xml:space="preserve">День 2 </t>
  </si>
  <si>
    <t>Омлет натуральный с консервированным зеленым горошком</t>
  </si>
  <si>
    <t>210, 306.МТ2011</t>
  </si>
  <si>
    <t>Масло сливочное (порц)</t>
  </si>
  <si>
    <t>Кофейный напиток с молоком</t>
  </si>
  <si>
    <t>379.МТ2011</t>
  </si>
  <si>
    <t>пряник</t>
  </si>
  <si>
    <t>Салат из свежих помидор с луком  с р/м</t>
  </si>
  <si>
    <t>23.М2011</t>
  </si>
  <si>
    <t>Борщ с капустой и картофелем</t>
  </si>
  <si>
    <t>82.МТ2011</t>
  </si>
  <si>
    <t>Сметана 15%</t>
  </si>
  <si>
    <t>Рыба припущенная</t>
  </si>
  <si>
    <t>227.МТ2011</t>
  </si>
  <si>
    <t>Картофель отварной</t>
  </si>
  <si>
    <t>310.МТ2011</t>
  </si>
  <si>
    <t>Компот из сухофруктов</t>
  </si>
  <si>
    <t>349.МТ2011</t>
  </si>
  <si>
    <t>День 3</t>
  </si>
  <si>
    <t>Пюре картофельное</t>
  </si>
  <si>
    <t>312.МТ2011</t>
  </si>
  <si>
    <t>Чай с лимоном</t>
  </si>
  <si>
    <t>377.МТ2011</t>
  </si>
  <si>
    <t>Масло сливочное (порциями)</t>
  </si>
  <si>
    <t>печенье</t>
  </si>
  <si>
    <t>Салат из свежих овощей с р/м</t>
  </si>
  <si>
    <t>29.МТ2011</t>
  </si>
  <si>
    <t>Суп рисовый с картофелем</t>
  </si>
  <si>
    <t>101.МТ2011</t>
  </si>
  <si>
    <t>Бефстроганов</t>
  </si>
  <si>
    <t>250.МТ2011</t>
  </si>
  <si>
    <t>Макаронные изделия отварные</t>
  </si>
  <si>
    <t>309.МТ2011</t>
  </si>
  <si>
    <t>Компот из плодов сухих (шиповник)</t>
  </si>
  <si>
    <t>388.МТ2011</t>
  </si>
  <si>
    <t>День 4</t>
  </si>
  <si>
    <t>Запеканка творожно-морковная с соусом яблочным</t>
  </si>
  <si>
    <t>224, 337.МТ2011</t>
  </si>
  <si>
    <t>Какао с молоком</t>
  </si>
  <si>
    <t>382.МТ2011</t>
  </si>
  <si>
    <t>сок</t>
  </si>
  <si>
    <t>Салат из свеклы отварной с р/м</t>
  </si>
  <si>
    <t>52.МТ2011</t>
  </si>
  <si>
    <t xml:space="preserve">Щи из свежей капусты </t>
  </si>
  <si>
    <t>88.МТ2011</t>
  </si>
  <si>
    <t>Плов из птицы</t>
  </si>
  <si>
    <t>291.МТ2011</t>
  </si>
  <si>
    <t>Компот из свежих яблок</t>
  </si>
  <si>
    <t>342.МТ2011</t>
  </si>
  <si>
    <t>День 5</t>
  </si>
  <si>
    <t>Макаронные изделия отварные с сыром</t>
  </si>
  <si>
    <t>204.МТ2011</t>
  </si>
  <si>
    <t>фрукты</t>
  </si>
  <si>
    <t>Салат из моркови с яблоком с р/м</t>
  </si>
  <si>
    <t>59.МТ2011</t>
  </si>
  <si>
    <t>Суп с макаронными изделиями</t>
  </si>
  <si>
    <t>103.МТ2011</t>
  </si>
  <si>
    <t>255.МТ2011</t>
  </si>
  <si>
    <t>Кисель из черной смородины</t>
  </si>
  <si>
    <t>350.МТ2011</t>
  </si>
  <si>
    <t>Масло сливочное (порци</t>
  </si>
  <si>
    <t>Сыр российский (порц.)</t>
  </si>
  <si>
    <t xml:space="preserve">Сок фруктовый </t>
  </si>
  <si>
    <t xml:space="preserve">Печень по-строгановски </t>
  </si>
  <si>
    <t>ДЕНЬ 6</t>
  </si>
  <si>
    <t>182.МТ2011</t>
  </si>
  <si>
    <t>Каша пшенная молочная</t>
  </si>
  <si>
    <t xml:space="preserve">Чай фруктовый </t>
  </si>
  <si>
    <t>Овощи свежие  в нарезке</t>
  </si>
  <si>
    <t>99.МТ2011</t>
  </si>
  <si>
    <t>Суп овощной</t>
  </si>
  <si>
    <t>278.МТ2011</t>
  </si>
  <si>
    <t>305.МТ2011</t>
  </si>
  <si>
    <t>Рис припущенный</t>
  </si>
  <si>
    <t>ДЕНЬ 7</t>
  </si>
  <si>
    <t>187, 330.МТ2011</t>
  </si>
  <si>
    <t>Запеканка рисовая с яблоками с соусом сметанным</t>
  </si>
  <si>
    <t>20.МТ2011</t>
  </si>
  <si>
    <t>Салат из свежих огурцов с р/м</t>
  </si>
  <si>
    <t>96.МТ2011</t>
  </si>
  <si>
    <t>Рассольник ленинградский</t>
  </si>
  <si>
    <t>232.МТ2011</t>
  </si>
  <si>
    <t>Рыба запеченая с картофелем по-русски</t>
  </si>
  <si>
    <t>ДЕНЬ 8</t>
  </si>
  <si>
    <t>Каша овсяная молочная</t>
  </si>
  <si>
    <t>пряники</t>
  </si>
  <si>
    <t>48.МТ2011</t>
  </si>
  <si>
    <t>Салат витаминный с р/м</t>
  </si>
  <si>
    <t>Суп картофельный с пшеничной крупой</t>
  </si>
  <si>
    <t>269, 331.МТ2011</t>
  </si>
  <si>
    <t>Котлета особая (мясная) с соусом сметанным с томатом</t>
  </si>
  <si>
    <t>ДЕНЬ 9</t>
  </si>
  <si>
    <t>222, 337.МТ2011</t>
  </si>
  <si>
    <t>Пудинг творожный с изюмом с яблочной подливой</t>
  </si>
  <si>
    <t>Помидор свежий  в нарезке</t>
  </si>
  <si>
    <t>259.МТ2011</t>
  </si>
  <si>
    <t>Жаркое по-домашнему</t>
  </si>
  <si>
    <t>351.МТ2011</t>
  </si>
  <si>
    <t>Кисель из земляники</t>
  </si>
  <si>
    <t>ДЕНЬ 10</t>
  </si>
  <si>
    <t xml:space="preserve">Чай с лимоном </t>
  </si>
  <si>
    <t>140.МТ2011</t>
  </si>
  <si>
    <t>296, 328, 330.МТ2011</t>
  </si>
  <si>
    <t>Котлета рубленая из птицы запеченая с соусом молочным, соус сметанный</t>
  </si>
  <si>
    <t>302.МТ2011</t>
  </si>
  <si>
    <t>Каша гречнева рассыпчатая</t>
  </si>
  <si>
    <t>Тефтели мясные , соус сметанный с томатом</t>
  </si>
  <si>
    <t>Масло сливочное (порц.)</t>
  </si>
  <si>
    <t>Макаронные изд.отварные</t>
  </si>
  <si>
    <t>пр 5-пр от 10.01.2022</t>
  </si>
  <si>
    <t>АССОРТИМЕНТ БЛЮД</t>
  </si>
  <si>
    <t>для организации питания  обучающихся МАОУ "Лесновская ООШ"</t>
  </si>
  <si>
    <t>268, .МТ2011</t>
  </si>
  <si>
    <t>331.МТ2011</t>
  </si>
  <si>
    <t>соус сметанный с томатом</t>
  </si>
  <si>
    <t>330.МТ2011</t>
  </si>
  <si>
    <t>187, МТ2011</t>
  </si>
  <si>
    <t xml:space="preserve">Запеканка рисовая с яблоками </t>
  </si>
  <si>
    <t>224, .МТ2011</t>
  </si>
  <si>
    <t>Запеканка творожно-морковная</t>
  </si>
  <si>
    <t>337.МТ2011</t>
  </si>
  <si>
    <t>296 .МТ2011</t>
  </si>
  <si>
    <t xml:space="preserve">Котлета рубленая из птицы </t>
  </si>
  <si>
    <t>328, МТ2011</t>
  </si>
  <si>
    <t>Салат из свежих помидор с луком репчатым с р/м</t>
  </si>
  <si>
    <t>Соус сметанный с томатом</t>
  </si>
  <si>
    <t>Чай с лимоном без сахара</t>
  </si>
  <si>
    <t xml:space="preserve">Соус молочный, </t>
  </si>
  <si>
    <t>Соус яблочный</t>
  </si>
  <si>
    <t xml:space="preserve">Салат из моркови с яблоком </t>
  </si>
  <si>
    <t>38.МТ2011</t>
  </si>
  <si>
    <t>33.МТ2011</t>
  </si>
  <si>
    <t>Винегрет Овощной</t>
  </si>
  <si>
    <t>45.МТ2011</t>
  </si>
  <si>
    <t>12.МТ2011</t>
  </si>
  <si>
    <t>Салат из кукурузы (консервированной</t>
  </si>
  <si>
    <t>Салат из квашеной капусты</t>
  </si>
  <si>
    <t>81МТ2011</t>
  </si>
  <si>
    <t>Салат из зеленого горошка</t>
  </si>
  <si>
    <t>10МТ2011</t>
  </si>
  <si>
    <t>Салат из свеклы с зеленым горошком</t>
  </si>
  <si>
    <t>34.МТ2011</t>
  </si>
  <si>
    <t>Икра свекольная или морковная</t>
  </si>
  <si>
    <t>126МТ2011</t>
  </si>
  <si>
    <t>Салат из соленых огурцов с луком</t>
  </si>
  <si>
    <t>17МТ2011</t>
  </si>
  <si>
    <t>Салат из свежих помидор с луком с р/м</t>
  </si>
  <si>
    <t>13.МТ2011</t>
  </si>
  <si>
    <t>консервы овощные, закусочные</t>
  </si>
  <si>
    <t>Овощи натуральные соленые</t>
  </si>
  <si>
    <t>Слат из свежих помидоров и огурцов</t>
  </si>
  <si>
    <t>50МТ2011</t>
  </si>
  <si>
    <t>70МТ2011</t>
  </si>
  <si>
    <t>23.МТ2011</t>
  </si>
  <si>
    <t>15МТ2011</t>
  </si>
  <si>
    <t>Салат из белокочанной капусты</t>
  </si>
  <si>
    <t>43МТ2011</t>
  </si>
  <si>
    <t>Щи из свежей капусты  с картофелем</t>
  </si>
  <si>
    <t>Суп картофельный с  рыбой</t>
  </si>
  <si>
    <t>Суп  из овощей со сметаной</t>
  </si>
  <si>
    <t>Суп  картофельный с макаронными изделиями</t>
  </si>
  <si>
    <t>Суп картофельный с бобовыми</t>
  </si>
  <si>
    <t>Печень по-строгановски</t>
  </si>
  <si>
    <t>Рагу из птицы, кролика или субпродуктов</t>
  </si>
  <si>
    <t>289МТ2011</t>
  </si>
  <si>
    <t xml:space="preserve">Биточки, шницели рубленые </t>
  </si>
  <si>
    <t>Рагу из овощей</t>
  </si>
  <si>
    <t>Каша жидкая молочная</t>
  </si>
  <si>
    <t>352, МТ2011</t>
  </si>
  <si>
    <t>Соус молочный,  для запекания</t>
  </si>
  <si>
    <t>Соус молочный,  сладкий</t>
  </si>
  <si>
    <t>51, МТ2011</t>
  </si>
  <si>
    <t>Соус красный основной</t>
  </si>
  <si>
    <t>833, СРБКИ ОП</t>
  </si>
  <si>
    <t>Плоды или ягоды свежие</t>
  </si>
  <si>
    <t>Чай  заварка</t>
  </si>
  <si>
    <t>375.МТ2011</t>
  </si>
  <si>
    <t>Чай с вареньем, джемом, повидлом</t>
  </si>
  <si>
    <t>Компот из смеси  сухофруктов</t>
  </si>
  <si>
    <t>Кисель из плодов или ягод свежих</t>
  </si>
  <si>
    <t>Тесто для оладий</t>
  </si>
  <si>
    <t>448МТ2011</t>
  </si>
  <si>
    <t>Оладьи</t>
  </si>
  <si>
    <t>449МТ2011</t>
  </si>
  <si>
    <t>Оладьи с изюмом</t>
  </si>
  <si>
    <t>450МТ2011</t>
  </si>
  <si>
    <t>465МТ2011</t>
  </si>
  <si>
    <t>453МТ2011</t>
  </si>
  <si>
    <t>Тесто дрожжевое</t>
  </si>
  <si>
    <t>Пирожки печеные из дрожжевого теста</t>
  </si>
  <si>
    <t>454МТ2011</t>
  </si>
  <si>
    <t>Колбасные, мясные изделия запеченые в тесте</t>
  </si>
  <si>
    <t>1064МТ2011</t>
  </si>
  <si>
    <t>Ватрушки</t>
  </si>
  <si>
    <t>458МТ2011</t>
  </si>
  <si>
    <t>Фарш творожный</t>
  </si>
  <si>
    <t>504МТ2011</t>
  </si>
  <si>
    <t>Фарш из свежей капусты</t>
  </si>
  <si>
    <t>1086МТ2011</t>
  </si>
  <si>
    <t>Фарш из картофеля с луком</t>
  </si>
  <si>
    <t>503МТ2011</t>
  </si>
  <si>
    <t>Фарш рисовый с яйцом</t>
  </si>
  <si>
    <t>466МТ2011</t>
  </si>
  <si>
    <t>Фаршмясной с луком</t>
  </si>
  <si>
    <t>497МТ2011</t>
  </si>
  <si>
    <t>Пирожки печеные с яблоками</t>
  </si>
  <si>
    <t>738 СР при ОШ</t>
  </si>
  <si>
    <t>Пирожки печеные с мясом</t>
  </si>
  <si>
    <t>238 СР при ОШ</t>
  </si>
  <si>
    <t>Соус сметанный</t>
  </si>
  <si>
    <t>Тефтели</t>
  </si>
  <si>
    <t>Пицца "Детская</t>
  </si>
  <si>
    <t>269.МТ2011</t>
  </si>
  <si>
    <t>Котлеты, биточки особые с соусом</t>
  </si>
  <si>
    <t>210,МТ2011</t>
  </si>
  <si>
    <t>Омлет  с зеленым горошком</t>
  </si>
  <si>
    <t>УТВЕРЖДАЮ</t>
  </si>
  <si>
    <t xml:space="preserve">                       </t>
  </si>
  <si>
    <t xml:space="preserve">     С. О. Мусатов</t>
  </si>
  <si>
    <t>Каша гречневая молочная</t>
  </si>
  <si>
    <t>Итого завтраки</t>
  </si>
  <si>
    <t>Итого обеды</t>
  </si>
  <si>
    <t>Суп  картофельный с рыбой</t>
  </si>
  <si>
    <t>Кисель из ягод</t>
  </si>
  <si>
    <t>для организации питания  обучающихся МАОУ "Лесновская ООШ" в возрасте               7 - 11 лет</t>
  </si>
  <si>
    <t>пр7 5-пр от25.07.2022</t>
  </si>
  <si>
    <t>для организации питания  обучающихся МАОУ "Лесновская ООШ"                              в возрасте 12 лет и старше</t>
  </si>
  <si>
    <t>пр 75-пр от 25.07.2022</t>
  </si>
  <si>
    <t>банан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</si>
</sst>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/>
    <xf numFmtId="2" fontId="9" fillId="0" borderId="2" xfId="0" applyNumberFormat="1" applyFont="1" applyFill="1" applyBorder="1"/>
    <xf numFmtId="2" fontId="9" fillId="0" borderId="2" xfId="0" applyNumberFormat="1" applyFont="1" applyBorder="1"/>
    <xf numFmtId="2" fontId="9" fillId="0" borderId="2" xfId="0" applyNumberFormat="1" applyFont="1" applyFill="1" applyBorder="1" applyAlignment="1">
      <alignment wrapText="1"/>
    </xf>
    <xf numFmtId="164" fontId="9" fillId="0" borderId="2" xfId="0" applyNumberFormat="1" applyFont="1" applyBorder="1" applyAlignment="1"/>
    <xf numFmtId="2" fontId="9" fillId="0" borderId="2" xfId="0" applyNumberFormat="1" applyFont="1" applyBorder="1" applyAlignment="1"/>
    <xf numFmtId="0" fontId="5" fillId="0" borderId="2" xfId="0" applyFont="1" applyFill="1" applyBorder="1" applyAlignment="1">
      <alignment wrapText="1"/>
    </xf>
    <xf numFmtId="0" fontId="9" fillId="0" borderId="2" xfId="0" applyFont="1" applyBorder="1" applyAlignment="1"/>
    <xf numFmtId="2" fontId="9" fillId="0" borderId="2" xfId="0" applyNumberFormat="1" applyFont="1" applyFill="1" applyBorder="1" applyAlignment="1"/>
    <xf numFmtId="2" fontId="11" fillId="0" borderId="2" xfId="0" applyNumberFormat="1" applyFont="1" applyFill="1" applyBorder="1" applyAlignment="1"/>
    <xf numFmtId="0" fontId="5" fillId="0" borderId="2" xfId="0" applyFont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9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/>
    <xf numFmtId="0" fontId="8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wrapText="1"/>
    </xf>
    <xf numFmtId="2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/>
    <xf numFmtId="2" fontId="13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2" fontId="8" fillId="0" borderId="2" xfId="0" applyNumberFormat="1" applyFont="1" applyBorder="1" applyAlignment="1"/>
    <xf numFmtId="2" fontId="8" fillId="0" borderId="2" xfId="0" applyNumberFormat="1" applyFont="1" applyFill="1" applyBorder="1" applyAlignment="1"/>
    <xf numFmtId="2" fontId="14" fillId="0" borderId="2" xfId="0" applyNumberFormat="1" applyFont="1" applyFill="1" applyBorder="1" applyAlignment="1"/>
    <xf numFmtId="2" fontId="5" fillId="0" borderId="2" xfId="0" applyNumberFormat="1" applyFont="1" applyFill="1" applyBorder="1" applyAlignment="1">
      <alignment vertical="center" wrapText="1"/>
    </xf>
    <xf numFmtId="0" fontId="5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Border="1" applyAlignment="1"/>
    <xf numFmtId="0" fontId="8" fillId="0" borderId="2" xfId="0" applyFont="1" applyFill="1" applyBorder="1"/>
    <xf numFmtId="2" fontId="13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/>
    <xf numFmtId="0" fontId="0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Fill="1" applyBorder="1"/>
    <xf numFmtId="0" fontId="5" fillId="0" borderId="2" xfId="0" applyFont="1" applyFill="1" applyBorder="1" applyAlignment="1">
      <alignment horizontal="right" wrapText="1"/>
    </xf>
    <xf numFmtId="2" fontId="8" fillId="0" borderId="2" xfId="1" applyNumberFormat="1" applyFont="1" applyBorder="1" applyAlignment="1">
      <alignment horizontal="right"/>
    </xf>
    <xf numFmtId="2" fontId="5" fillId="0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2" fontId="9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wrapText="1"/>
    </xf>
    <xf numFmtId="2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/>
    <xf numFmtId="2" fontId="15" fillId="0" borderId="2" xfId="0" applyNumberFormat="1" applyFont="1" applyFill="1" applyBorder="1" applyAlignment="1"/>
    <xf numFmtId="2" fontId="0" fillId="0" borderId="0" xfId="0" applyNumberFormat="1"/>
    <xf numFmtId="0" fontId="0" fillId="0" borderId="0" xfId="0" applyAlignment="1">
      <alignment horizontal="right" wrapText="1"/>
    </xf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1" xfId="0" applyFont="1" applyBorder="1" applyAlignment="1"/>
    <xf numFmtId="0" fontId="8" fillId="0" borderId="3" xfId="0" applyFont="1" applyBorder="1" applyAlignment="1"/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topLeftCell="A164" workbookViewId="0">
      <selection activeCell="B1" sqref="A1:H183"/>
    </sheetView>
  </sheetViews>
  <sheetFormatPr defaultRowHeight="15"/>
  <cols>
    <col min="1" max="1" width="4" customWidth="1"/>
    <col min="2" max="2" width="27.7109375" customWidth="1"/>
    <col min="3" max="3" width="8.140625" customWidth="1"/>
    <col min="4" max="4" width="6.85546875" customWidth="1"/>
    <col min="5" max="5" width="7.140625" customWidth="1"/>
    <col min="6" max="6" width="7.42578125" customWidth="1"/>
    <col min="7" max="7" width="9" customWidth="1"/>
    <col min="8" max="8" width="13" customWidth="1"/>
  </cols>
  <sheetData>
    <row r="1" spans="1:8">
      <c r="E1" s="1"/>
      <c r="F1" s="1"/>
      <c r="G1" s="1" t="s">
        <v>0</v>
      </c>
      <c r="H1" s="1"/>
    </row>
    <row r="2" spans="1:8">
      <c r="E2" s="1" t="s">
        <v>1</v>
      </c>
      <c r="F2" s="1"/>
      <c r="G2" s="1"/>
      <c r="H2" s="1"/>
    </row>
    <row r="3" spans="1:8">
      <c r="A3" s="2"/>
      <c r="B3" s="2"/>
      <c r="C3" s="2"/>
      <c r="D3" s="2"/>
      <c r="E3" s="1" t="s">
        <v>2</v>
      </c>
      <c r="F3" s="1"/>
      <c r="G3" s="1"/>
      <c r="H3" s="1"/>
    </row>
    <row r="4" spans="1:8">
      <c r="C4" s="3"/>
      <c r="E4" s="76" t="s">
        <v>264</v>
      </c>
      <c r="F4" s="76"/>
      <c r="G4" s="76"/>
      <c r="H4" s="76"/>
    </row>
    <row r="5" spans="1:8" ht="15.75" customHeight="1">
      <c r="A5" s="84" t="s">
        <v>3</v>
      </c>
      <c r="B5" s="84"/>
      <c r="C5" s="84"/>
      <c r="D5" s="84"/>
      <c r="E5" s="84"/>
      <c r="F5" s="84"/>
      <c r="G5" s="84"/>
      <c r="H5" s="84"/>
    </row>
    <row r="6" spans="1:8" ht="30" customHeight="1">
      <c r="A6" s="84" t="s">
        <v>263</v>
      </c>
      <c r="B6" s="84"/>
      <c r="C6" s="84"/>
      <c r="D6" s="84"/>
      <c r="E6" s="84"/>
      <c r="F6" s="84"/>
      <c r="G6" s="84"/>
      <c r="H6" s="84"/>
    </row>
    <row r="7" spans="1:8">
      <c r="C7" s="3"/>
    </row>
    <row r="8" spans="1:8">
      <c r="A8" s="80" t="s">
        <v>4</v>
      </c>
      <c r="B8" s="81"/>
      <c r="C8" s="45"/>
      <c r="D8" s="45"/>
      <c r="E8" s="46"/>
      <c r="F8" s="46"/>
      <c r="G8" s="46"/>
      <c r="H8" s="46"/>
    </row>
    <row r="9" spans="1:8">
      <c r="A9" s="82"/>
      <c r="B9" s="85" t="s">
        <v>5</v>
      </c>
      <c r="C9" s="85" t="s">
        <v>6</v>
      </c>
      <c r="D9" s="85" t="s">
        <v>7</v>
      </c>
      <c r="E9" s="85"/>
      <c r="F9" s="85"/>
      <c r="G9" s="85" t="s">
        <v>8</v>
      </c>
      <c r="H9" s="85" t="s">
        <v>9</v>
      </c>
    </row>
    <row r="10" spans="1:8">
      <c r="A10" s="83"/>
      <c r="B10" s="85"/>
      <c r="C10" s="85"/>
      <c r="D10" s="30" t="s">
        <v>10</v>
      </c>
      <c r="E10" s="30" t="s">
        <v>11</v>
      </c>
      <c r="F10" s="30" t="s">
        <v>12</v>
      </c>
      <c r="G10" s="85"/>
      <c r="H10" s="85"/>
    </row>
    <row r="11" spans="1:8" ht="15.75" customHeight="1">
      <c r="A11" s="11"/>
      <c r="B11" s="26" t="s">
        <v>13</v>
      </c>
      <c r="C11" s="10"/>
      <c r="D11" s="11"/>
      <c r="E11" s="11"/>
      <c r="F11" s="11"/>
      <c r="G11" s="11"/>
      <c r="H11" s="25"/>
    </row>
    <row r="12" spans="1:8">
      <c r="A12" s="11"/>
      <c r="B12" s="31" t="s">
        <v>14</v>
      </c>
      <c r="C12" s="32">
        <v>200</v>
      </c>
      <c r="D12" s="32">
        <f>9.01</f>
        <v>9.01</v>
      </c>
      <c r="E12" s="32">
        <f>5.74</f>
        <v>5.74</v>
      </c>
      <c r="F12" s="32">
        <f>45.03</f>
        <v>45.03</v>
      </c>
      <c r="G12" s="32">
        <f>269</f>
        <v>269</v>
      </c>
      <c r="H12" s="33" t="s">
        <v>15</v>
      </c>
    </row>
    <row r="13" spans="1:8">
      <c r="A13" s="11"/>
      <c r="B13" s="31" t="s">
        <v>16</v>
      </c>
      <c r="C13" s="32">
        <v>200</v>
      </c>
      <c r="D13" s="32">
        <v>0.53</v>
      </c>
      <c r="E13" s="32">
        <v>0</v>
      </c>
      <c r="F13" s="32">
        <v>9.4700000000000006</v>
      </c>
      <c r="G13" s="32">
        <v>60</v>
      </c>
      <c r="H13" s="33" t="s">
        <v>17</v>
      </c>
    </row>
    <row r="14" spans="1:8">
      <c r="A14" s="11"/>
      <c r="B14" s="34" t="s">
        <v>18</v>
      </c>
      <c r="C14" s="35">
        <v>30</v>
      </c>
      <c r="D14" s="35">
        <v>2.2799999999999998</v>
      </c>
      <c r="E14" s="35">
        <v>0.24</v>
      </c>
      <c r="F14" s="35">
        <v>14.8</v>
      </c>
      <c r="G14" s="35">
        <v>70.5</v>
      </c>
      <c r="H14" s="36" t="s">
        <v>19</v>
      </c>
    </row>
    <row r="15" spans="1:8">
      <c r="A15" s="11"/>
      <c r="B15" s="31" t="s">
        <v>97</v>
      </c>
      <c r="C15" s="32">
        <v>10</v>
      </c>
      <c r="D15" s="32">
        <v>0.1</v>
      </c>
      <c r="E15" s="32">
        <v>7.2</v>
      </c>
      <c r="F15" s="32">
        <v>0.13</v>
      </c>
      <c r="G15" s="32">
        <v>66</v>
      </c>
      <c r="H15" s="33" t="s">
        <v>20</v>
      </c>
    </row>
    <row r="16" spans="1:8">
      <c r="A16" s="11"/>
      <c r="B16" s="31" t="s">
        <v>98</v>
      </c>
      <c r="C16" s="37">
        <v>15</v>
      </c>
      <c r="D16" s="37">
        <v>5.48</v>
      </c>
      <c r="E16" s="32">
        <v>4.43</v>
      </c>
      <c r="F16" s="32">
        <v>0</v>
      </c>
      <c r="G16" s="32">
        <v>53.75</v>
      </c>
      <c r="H16" s="33" t="s">
        <v>22</v>
      </c>
    </row>
    <row r="17" spans="1:11">
      <c r="A17" s="11"/>
      <c r="B17" s="23" t="s">
        <v>23</v>
      </c>
      <c r="C17" s="37">
        <v>100</v>
      </c>
      <c r="D17" s="37">
        <v>0.4</v>
      </c>
      <c r="E17" s="37">
        <v>0.4</v>
      </c>
      <c r="F17" s="37">
        <v>9.8000000000000007</v>
      </c>
      <c r="G17" s="37">
        <v>47</v>
      </c>
      <c r="H17" s="36"/>
    </row>
    <row r="18" spans="1:11">
      <c r="A18" s="11"/>
      <c r="B18" s="24" t="s">
        <v>24</v>
      </c>
      <c r="C18" s="38">
        <f>C12+C13+C14+C15+C16+C17</f>
        <v>555</v>
      </c>
      <c r="D18" s="38">
        <f t="shared" ref="D18" si="0">D12+D13+D14+D15+D16+D17</f>
        <v>17.799999999999997</v>
      </c>
      <c r="E18" s="38">
        <f>E12+E13+E14+E15+E16+E17</f>
        <v>18.009999999999998</v>
      </c>
      <c r="F18" s="38">
        <f>F12+F13+F14+F15+F16+F17</f>
        <v>79.22999999999999</v>
      </c>
      <c r="G18" s="38">
        <f>G12+G13+G14+G15+G16+G17</f>
        <v>566.25</v>
      </c>
      <c r="H18" s="11"/>
    </row>
    <row r="19" spans="1:11" ht="15.75" customHeight="1">
      <c r="A19" s="36"/>
      <c r="B19" s="39" t="s">
        <v>25</v>
      </c>
      <c r="C19" s="40"/>
      <c r="D19" s="24"/>
      <c r="E19" s="24"/>
      <c r="F19" s="24"/>
      <c r="G19" s="24"/>
      <c r="H19" s="36"/>
    </row>
    <row r="20" spans="1:11" ht="16.5" customHeight="1">
      <c r="A20" s="31"/>
      <c r="B20" s="31" t="s">
        <v>26</v>
      </c>
      <c r="C20" s="41">
        <v>100</v>
      </c>
      <c r="D20" s="41">
        <v>0.7</v>
      </c>
      <c r="E20" s="41">
        <v>0.1</v>
      </c>
      <c r="F20" s="41">
        <v>1.9</v>
      </c>
      <c r="G20" s="41">
        <v>12</v>
      </c>
      <c r="H20" s="31" t="s">
        <v>27</v>
      </c>
    </row>
    <row r="21" spans="1:11">
      <c r="A21" s="31"/>
      <c r="B21" s="31" t="s">
        <v>28</v>
      </c>
      <c r="C21" s="41">
        <v>250</v>
      </c>
      <c r="D21" s="41">
        <f>4.01/2*2.5</f>
        <v>5.0124999999999993</v>
      </c>
      <c r="E21" s="41">
        <f>4.28/2*2.5</f>
        <v>5.3500000000000005</v>
      </c>
      <c r="F21" s="41">
        <f>12.92/2*2.5</f>
        <v>16.149999999999999</v>
      </c>
      <c r="G21" s="41">
        <f>106.6/2*2.5</f>
        <v>133.25</v>
      </c>
      <c r="H21" s="31" t="s">
        <v>29</v>
      </c>
    </row>
    <row r="22" spans="1:11" ht="30">
      <c r="A22" s="31"/>
      <c r="B22" s="31" t="s">
        <v>30</v>
      </c>
      <c r="C22" s="41">
        <v>100</v>
      </c>
      <c r="D22" s="41">
        <v>15.55</v>
      </c>
      <c r="E22" s="41">
        <v>11.55</v>
      </c>
      <c r="F22" s="41">
        <v>15.7</v>
      </c>
      <c r="G22" s="41">
        <v>228.75</v>
      </c>
      <c r="H22" s="31" t="s">
        <v>31</v>
      </c>
    </row>
    <row r="23" spans="1:11">
      <c r="A23" s="23"/>
      <c r="B23" s="23" t="s">
        <v>32</v>
      </c>
      <c r="C23" s="42">
        <v>180</v>
      </c>
      <c r="D23" s="42">
        <v>3.04</v>
      </c>
      <c r="E23" s="42">
        <v>18.8</v>
      </c>
      <c r="F23" s="42">
        <v>14.74</v>
      </c>
      <c r="G23" s="42">
        <v>243.42</v>
      </c>
      <c r="H23" s="23" t="s">
        <v>33</v>
      </c>
    </row>
    <row r="24" spans="1:11">
      <c r="A24" s="33"/>
      <c r="B24" s="31" t="s">
        <v>99</v>
      </c>
      <c r="C24" s="32">
        <v>200</v>
      </c>
      <c r="D24" s="32">
        <v>1</v>
      </c>
      <c r="E24" s="32">
        <v>0</v>
      </c>
      <c r="F24" s="32">
        <v>22.2</v>
      </c>
      <c r="G24" s="32">
        <v>84.8</v>
      </c>
      <c r="H24" s="33" t="s">
        <v>35</v>
      </c>
      <c r="K24">
        <f>2720*0.2</f>
        <v>544</v>
      </c>
    </row>
    <row r="25" spans="1:11">
      <c r="A25" s="23"/>
      <c r="B25" s="34" t="s">
        <v>18</v>
      </c>
      <c r="C25" s="35">
        <v>30</v>
      </c>
      <c r="D25" s="35">
        <v>2.2799999999999998</v>
      </c>
      <c r="E25" s="35">
        <v>0.24</v>
      </c>
      <c r="F25" s="35">
        <v>14.8</v>
      </c>
      <c r="G25" s="35">
        <v>70.5</v>
      </c>
      <c r="H25" s="23" t="s">
        <v>19</v>
      </c>
    </row>
    <row r="26" spans="1:11">
      <c r="A26" s="23"/>
      <c r="B26" s="34" t="s">
        <v>36</v>
      </c>
      <c r="C26" s="42">
        <v>30</v>
      </c>
      <c r="D26" s="43">
        <v>1.96</v>
      </c>
      <c r="E26" s="43">
        <f>0.44/40*30</f>
        <v>0.32999999999999996</v>
      </c>
      <c r="F26" s="43">
        <v>10.199999999999999</v>
      </c>
      <c r="G26" s="43">
        <v>69</v>
      </c>
      <c r="H26" s="23" t="s">
        <v>19</v>
      </c>
    </row>
    <row r="27" spans="1:11">
      <c r="A27" s="33"/>
      <c r="B27" s="21" t="s">
        <v>24</v>
      </c>
      <c r="C27" s="44">
        <f>C20+C21+C22+C23+C24+C25+C26</f>
        <v>890</v>
      </c>
      <c r="D27" s="44">
        <f t="shared" ref="D27" si="1">D20+D21+D22+D23+D24+D25+D26</f>
        <v>29.5425</v>
      </c>
      <c r="E27" s="44">
        <f>E20+E21+E22+E23+E24+E25+E26</f>
        <v>36.369999999999997</v>
      </c>
      <c r="F27" s="44">
        <f>F20+F21+F22+F23+F24+F25+F26</f>
        <v>95.69</v>
      </c>
      <c r="G27" s="44">
        <f>G20+G21+G22+G23+G24+G25+G26</f>
        <v>841.71999999999991</v>
      </c>
      <c r="H27" s="33"/>
    </row>
    <row r="28" spans="1:11">
      <c r="A28" s="77" t="s">
        <v>37</v>
      </c>
      <c r="B28" s="78"/>
      <c r="C28" s="11"/>
      <c r="D28" s="11"/>
      <c r="E28" s="11"/>
      <c r="F28" s="11"/>
      <c r="G28" s="11"/>
      <c r="H28" s="11"/>
    </row>
    <row r="29" spans="1:11" ht="18" customHeight="1">
      <c r="A29" s="25"/>
      <c r="B29" s="26" t="s">
        <v>13</v>
      </c>
      <c r="C29" s="10"/>
      <c r="D29" s="11"/>
      <c r="E29" s="11"/>
      <c r="F29" s="11"/>
      <c r="G29" s="11"/>
      <c r="H29" s="11"/>
    </row>
    <row r="30" spans="1:11" ht="45">
      <c r="A30" s="11"/>
      <c r="B30" s="31" t="s">
        <v>38</v>
      </c>
      <c r="C30" s="32">
        <v>210</v>
      </c>
      <c r="D30" s="32">
        <f>12.08/150*200</f>
        <v>16.106666666666666</v>
      </c>
      <c r="E30" s="32">
        <f>19.92/150*200</f>
        <v>26.56</v>
      </c>
      <c r="F30" s="32">
        <f>4.06/150*200</f>
        <v>5.4133333333333322</v>
      </c>
      <c r="G30" s="32">
        <f>243.78/150*210</f>
        <v>341.29199999999997</v>
      </c>
      <c r="H30" s="33" t="s">
        <v>39</v>
      </c>
    </row>
    <row r="31" spans="1:11">
      <c r="A31" s="11"/>
      <c r="B31" s="34" t="s">
        <v>18</v>
      </c>
      <c r="C31" s="35">
        <v>30</v>
      </c>
      <c r="D31" s="35">
        <v>2.2799999999999998</v>
      </c>
      <c r="E31" s="35">
        <v>0.24</v>
      </c>
      <c r="F31" s="35">
        <v>14.8</v>
      </c>
      <c r="G31" s="35">
        <v>70.5</v>
      </c>
      <c r="H31" s="36" t="s">
        <v>19</v>
      </c>
    </row>
    <row r="32" spans="1:11">
      <c r="A32" s="11"/>
      <c r="B32" s="31" t="s">
        <v>40</v>
      </c>
      <c r="C32" s="32">
        <v>10</v>
      </c>
      <c r="D32" s="32">
        <v>0.1</v>
      </c>
      <c r="E32" s="32">
        <v>7.2</v>
      </c>
      <c r="F32" s="32">
        <v>0.13</v>
      </c>
      <c r="G32" s="32">
        <v>66</v>
      </c>
      <c r="H32" s="33" t="s">
        <v>20</v>
      </c>
    </row>
    <row r="33" spans="1:8" ht="15" customHeight="1">
      <c r="A33" s="11"/>
      <c r="B33" s="11" t="s">
        <v>41</v>
      </c>
      <c r="C33" s="32">
        <v>200</v>
      </c>
      <c r="D33" s="32">
        <v>3.17</v>
      </c>
      <c r="E33" s="32">
        <v>2.68</v>
      </c>
      <c r="F33" s="32">
        <v>15.95</v>
      </c>
      <c r="G33" s="32">
        <v>100.6</v>
      </c>
      <c r="H33" s="33" t="s">
        <v>42</v>
      </c>
    </row>
    <row r="34" spans="1:8">
      <c r="A34" s="11"/>
      <c r="B34" s="23" t="s">
        <v>265</v>
      </c>
      <c r="C34" s="37">
        <v>100</v>
      </c>
      <c r="D34" s="37">
        <v>0.5</v>
      </c>
      <c r="E34" s="37">
        <v>0.1</v>
      </c>
      <c r="F34" s="37">
        <v>10.1</v>
      </c>
      <c r="G34" s="37">
        <v>96</v>
      </c>
      <c r="H34" s="36"/>
    </row>
    <row r="35" spans="1:8">
      <c r="A35" s="11"/>
      <c r="B35" s="24" t="s">
        <v>24</v>
      </c>
      <c r="C35" s="38">
        <f>C30+C31+C32+C33+C34</f>
        <v>550</v>
      </c>
      <c r="D35" s="38">
        <f>D30+D31+D32+D33+D34</f>
        <v>22.156666666666666</v>
      </c>
      <c r="E35" s="38">
        <f>E30+E31+E32+E33+E34</f>
        <v>36.78</v>
      </c>
      <c r="F35" s="38">
        <f>F30+F31+F32+F33+F34</f>
        <v>46.393333333333331</v>
      </c>
      <c r="G35" s="38">
        <f>G30+G31+G32+G33+G34</f>
        <v>674.39199999999994</v>
      </c>
      <c r="H35" s="11"/>
    </row>
    <row r="36" spans="1:8">
      <c r="A36" s="36"/>
      <c r="B36" s="39" t="s">
        <v>25</v>
      </c>
      <c r="C36" s="40"/>
      <c r="D36" s="24"/>
      <c r="E36" s="24"/>
      <c r="F36" s="24"/>
      <c r="G36" s="24"/>
      <c r="H36" s="36"/>
    </row>
    <row r="37" spans="1:8" ht="30">
      <c r="A37" s="36"/>
      <c r="B37" s="23" t="s">
        <v>44</v>
      </c>
      <c r="C37" s="37">
        <v>100</v>
      </c>
      <c r="D37" s="37">
        <v>1.1299999999999999</v>
      </c>
      <c r="E37" s="37">
        <v>6.19</v>
      </c>
      <c r="F37" s="37">
        <v>4.72</v>
      </c>
      <c r="G37" s="37">
        <v>79.099999999999994</v>
      </c>
      <c r="H37" s="36" t="s">
        <v>45</v>
      </c>
    </row>
    <row r="38" spans="1:8" ht="30">
      <c r="A38" s="36"/>
      <c r="B38" s="23" t="s">
        <v>46</v>
      </c>
      <c r="C38" s="37">
        <v>250</v>
      </c>
      <c r="D38" s="37">
        <f>1.86/2*2.5</f>
        <v>2.3250000000000002</v>
      </c>
      <c r="E38" s="37">
        <f>5.92/2*2.5</f>
        <v>7.4</v>
      </c>
      <c r="F38" s="37">
        <v>8.4</v>
      </c>
      <c r="G38" s="37">
        <f>82/2*2.5</f>
        <v>102.5</v>
      </c>
      <c r="H38" s="36" t="s">
        <v>47</v>
      </c>
    </row>
    <row r="39" spans="1:8">
      <c r="A39" s="36"/>
      <c r="B39" s="23" t="s">
        <v>48</v>
      </c>
      <c r="C39" s="37">
        <v>10</v>
      </c>
      <c r="D39" s="37">
        <v>0.26</v>
      </c>
      <c r="E39" s="37">
        <v>1.5</v>
      </c>
      <c r="F39" s="37">
        <f>0.36/2*2.5</f>
        <v>0.44999999999999996</v>
      </c>
      <c r="G39" s="37">
        <v>16.2</v>
      </c>
      <c r="H39" s="36"/>
    </row>
    <row r="40" spans="1:8">
      <c r="A40" s="36"/>
      <c r="B40" s="23" t="s">
        <v>49</v>
      </c>
      <c r="C40" s="37">
        <v>100</v>
      </c>
      <c r="D40" s="37">
        <v>19.420000000000002</v>
      </c>
      <c r="E40" s="37">
        <v>1.19</v>
      </c>
      <c r="F40" s="37">
        <v>0.31</v>
      </c>
      <c r="G40" s="37">
        <v>90</v>
      </c>
      <c r="H40" s="36" t="s">
        <v>50</v>
      </c>
    </row>
    <row r="41" spans="1:8">
      <c r="A41" s="36"/>
      <c r="B41" s="23" t="s">
        <v>51</v>
      </c>
      <c r="C41" s="37">
        <v>180</v>
      </c>
      <c r="D41" s="37">
        <f>2.96/150*180</f>
        <v>3.5519999999999996</v>
      </c>
      <c r="E41" s="37">
        <f>4.32/150*180</f>
        <v>5.1840000000000002</v>
      </c>
      <c r="F41" s="37">
        <f>18.01/15*18</f>
        <v>21.612000000000002</v>
      </c>
      <c r="G41" s="37">
        <f>142.35/150*180</f>
        <v>170.82</v>
      </c>
      <c r="H41" s="36" t="s">
        <v>52</v>
      </c>
    </row>
    <row r="42" spans="1:8">
      <c r="A42" s="33"/>
      <c r="B42" s="31" t="s">
        <v>53</v>
      </c>
      <c r="C42" s="32">
        <v>200</v>
      </c>
      <c r="D42" s="32">
        <v>1.1599999999999999</v>
      </c>
      <c r="E42" s="32">
        <v>0.3</v>
      </c>
      <c r="F42" s="32">
        <v>47.26</v>
      </c>
      <c r="G42" s="32">
        <v>196.38</v>
      </c>
      <c r="H42" s="33" t="s">
        <v>54</v>
      </c>
    </row>
    <row r="43" spans="1:8">
      <c r="A43" s="23"/>
      <c r="B43" s="34" t="s">
        <v>18</v>
      </c>
      <c r="C43" s="35">
        <v>30</v>
      </c>
      <c r="D43" s="35">
        <v>2.2799999999999998</v>
      </c>
      <c r="E43" s="35">
        <v>0.24</v>
      </c>
      <c r="F43" s="35">
        <v>14.8</v>
      </c>
      <c r="G43" s="35">
        <v>70.5</v>
      </c>
      <c r="H43" s="23" t="s">
        <v>19</v>
      </c>
    </row>
    <row r="44" spans="1:8">
      <c r="A44" s="23"/>
      <c r="B44" s="34" t="s">
        <v>36</v>
      </c>
      <c r="C44" s="42">
        <v>30</v>
      </c>
      <c r="D44" s="43">
        <v>1.96</v>
      </c>
      <c r="E44" s="43">
        <f>0.44/40*30</f>
        <v>0.32999999999999996</v>
      </c>
      <c r="F44" s="43">
        <v>10.199999999999999</v>
      </c>
      <c r="G44" s="43">
        <v>69</v>
      </c>
      <c r="H44" s="23" t="s">
        <v>19</v>
      </c>
    </row>
    <row r="45" spans="1:8">
      <c r="A45" s="33"/>
      <c r="B45" s="21" t="s">
        <v>24</v>
      </c>
      <c r="C45" s="44">
        <f>C37+C38+C40+C39+C41+C42+C43+C44</f>
        <v>900</v>
      </c>
      <c r="D45" s="44">
        <f t="shared" ref="D45" si="2">D37+D38+D40+D39+D41+D42+D43+D44</f>
        <v>32.087000000000003</v>
      </c>
      <c r="E45" s="44">
        <f>E37+E38+E40+E39+E41+E42+E43+E44</f>
        <v>22.334</v>
      </c>
      <c r="F45" s="44">
        <f>F37+F38+F40+F39+F41+F42+F43+F44</f>
        <v>107.75200000000001</v>
      </c>
      <c r="G45" s="44">
        <f>G37+G38+G40+G39+G41+G42+G43+G44</f>
        <v>794.5</v>
      </c>
      <c r="H45" s="44"/>
    </row>
    <row r="46" spans="1:8">
      <c r="A46" s="77" t="s">
        <v>55</v>
      </c>
      <c r="B46" s="77"/>
      <c r="C46" s="11"/>
      <c r="D46" s="11"/>
      <c r="E46" s="11"/>
      <c r="F46" s="11"/>
      <c r="G46" s="11"/>
      <c r="H46" s="11"/>
    </row>
    <row r="47" spans="1:8">
      <c r="A47" s="11"/>
      <c r="B47" s="47" t="s">
        <v>13</v>
      </c>
      <c r="C47" s="10"/>
      <c r="D47" s="11"/>
      <c r="E47" s="11"/>
      <c r="F47" s="11"/>
      <c r="G47" s="11"/>
      <c r="H47" s="25"/>
    </row>
    <row r="48" spans="1:8">
      <c r="A48" s="11"/>
      <c r="B48" s="23" t="s">
        <v>49</v>
      </c>
      <c r="C48" s="42">
        <v>100</v>
      </c>
      <c r="D48" s="42">
        <v>8.94</v>
      </c>
      <c r="E48" s="42">
        <v>3.98</v>
      </c>
      <c r="F48" s="42">
        <v>2.09</v>
      </c>
      <c r="G48" s="42">
        <f>82/80*100</f>
        <v>102.49999999999999</v>
      </c>
      <c r="H48" s="48" t="s">
        <v>50</v>
      </c>
    </row>
    <row r="49" spans="1:8">
      <c r="A49" s="11"/>
      <c r="B49" s="31" t="s">
        <v>56</v>
      </c>
      <c r="C49" s="41">
        <v>150</v>
      </c>
      <c r="D49" s="49">
        <v>3.08</v>
      </c>
      <c r="E49" s="49">
        <v>2.33</v>
      </c>
      <c r="F49" s="49">
        <v>19.13</v>
      </c>
      <c r="G49" s="49">
        <v>119.73</v>
      </c>
      <c r="H49" s="25" t="s">
        <v>57</v>
      </c>
    </row>
    <row r="50" spans="1:8">
      <c r="A50" s="50"/>
      <c r="B50" s="23" t="s">
        <v>58</v>
      </c>
      <c r="C50" s="42">
        <v>200</v>
      </c>
      <c r="D50" s="42">
        <v>0.13</v>
      </c>
      <c r="E50" s="42">
        <v>0.02</v>
      </c>
      <c r="F50" s="42">
        <v>15.73</v>
      </c>
      <c r="G50" s="42">
        <v>64.17</v>
      </c>
      <c r="H50" s="48" t="s">
        <v>59</v>
      </c>
    </row>
    <row r="51" spans="1:8">
      <c r="A51" s="11"/>
      <c r="B51" s="34" t="s">
        <v>18</v>
      </c>
      <c r="C51" s="35">
        <v>30</v>
      </c>
      <c r="D51" s="35">
        <v>2.2799999999999998</v>
      </c>
      <c r="E51" s="35">
        <v>0.24</v>
      </c>
      <c r="F51" s="35">
        <v>14.8</v>
      </c>
      <c r="G51" s="35">
        <v>70.5</v>
      </c>
      <c r="H51" s="48" t="s">
        <v>19</v>
      </c>
    </row>
    <row r="52" spans="1:8">
      <c r="A52" s="11"/>
      <c r="B52" s="31" t="s">
        <v>60</v>
      </c>
      <c r="C52" s="41">
        <v>10</v>
      </c>
      <c r="D52" s="41">
        <v>0.1</v>
      </c>
      <c r="E52" s="41">
        <v>7.2</v>
      </c>
      <c r="F52" s="41">
        <v>0.13</v>
      </c>
      <c r="G52" s="41">
        <v>66</v>
      </c>
      <c r="H52" s="25" t="s">
        <v>20</v>
      </c>
    </row>
    <row r="53" spans="1:8">
      <c r="A53" s="11"/>
      <c r="B53" s="23" t="s">
        <v>61</v>
      </c>
      <c r="C53" s="42">
        <v>60</v>
      </c>
      <c r="D53" s="37">
        <v>6.72</v>
      </c>
      <c r="E53" s="37">
        <v>7.54</v>
      </c>
      <c r="F53" s="37">
        <v>71.58</v>
      </c>
      <c r="G53" s="37">
        <f>190.17*2</f>
        <v>380.34</v>
      </c>
      <c r="H53" s="11"/>
    </row>
    <row r="54" spans="1:8">
      <c r="A54" s="11"/>
      <c r="B54" s="17" t="s">
        <v>24</v>
      </c>
      <c r="C54" s="51">
        <f>C48+C49+C50+C51+C52+C53</f>
        <v>550</v>
      </c>
      <c r="D54" s="51">
        <f t="shared" ref="D54" si="3">D48+D49+D50+D51+D52+D53</f>
        <v>21.25</v>
      </c>
      <c r="E54" s="51">
        <f>E48+E49+E50+E51+E52+E53</f>
        <v>21.31</v>
      </c>
      <c r="F54" s="51">
        <f>F48+F49+F50+F51+F52+F53</f>
        <v>123.46000000000001</v>
      </c>
      <c r="G54" s="51">
        <f>G48+G49+G50+G51+G52+G53</f>
        <v>803.24</v>
      </c>
      <c r="H54" s="48"/>
    </row>
    <row r="55" spans="1:8">
      <c r="A55" s="11"/>
      <c r="B55" s="52" t="s">
        <v>25</v>
      </c>
      <c r="C55" s="40"/>
      <c r="D55" s="24"/>
      <c r="E55" s="24"/>
      <c r="F55" s="24"/>
      <c r="G55" s="24"/>
      <c r="H55" s="36"/>
    </row>
    <row r="56" spans="1:8" ht="30">
      <c r="A56" s="11"/>
      <c r="B56" s="23" t="s">
        <v>62</v>
      </c>
      <c r="C56" s="42">
        <v>100</v>
      </c>
      <c r="D56" s="42">
        <v>0.98</v>
      </c>
      <c r="E56" s="42">
        <v>6.15</v>
      </c>
      <c r="F56" s="42">
        <v>3.73</v>
      </c>
      <c r="G56" s="42">
        <v>74.2</v>
      </c>
      <c r="H56" s="48" t="s">
        <v>63</v>
      </c>
    </row>
    <row r="57" spans="1:8">
      <c r="A57" s="11"/>
      <c r="B57" s="23" t="s">
        <v>64</v>
      </c>
      <c r="C57" s="42">
        <v>250</v>
      </c>
      <c r="D57" s="42">
        <f>1.58/2*2.5</f>
        <v>1.9750000000000001</v>
      </c>
      <c r="E57" s="42">
        <f>2.17/2*2.5</f>
        <v>2.7124999999999999</v>
      </c>
      <c r="F57" s="42">
        <f>13.6/2*2.5</f>
        <v>17</v>
      </c>
      <c r="G57" s="42">
        <f>82.6/2*2.5</f>
        <v>103.25</v>
      </c>
      <c r="H57" s="48" t="s">
        <v>65</v>
      </c>
    </row>
    <row r="58" spans="1:8">
      <c r="A58" s="11"/>
      <c r="B58" s="31" t="s">
        <v>66</v>
      </c>
      <c r="C58" s="41">
        <v>100</v>
      </c>
      <c r="D58" s="41">
        <v>15.2</v>
      </c>
      <c r="E58" s="41">
        <v>23.1</v>
      </c>
      <c r="F58" s="41">
        <v>5.12</v>
      </c>
      <c r="G58" s="41">
        <v>290</v>
      </c>
      <c r="H58" s="25" t="s">
        <v>67</v>
      </c>
    </row>
    <row r="59" spans="1:8" ht="30">
      <c r="A59" s="11"/>
      <c r="B59" s="23" t="s">
        <v>68</v>
      </c>
      <c r="C59" s="42">
        <v>180</v>
      </c>
      <c r="D59" s="42">
        <f>5.52/15*18</f>
        <v>6.6239999999999997</v>
      </c>
      <c r="E59" s="42">
        <f>4.52/15*18</f>
        <v>5.4239999999999995</v>
      </c>
      <c r="F59" s="42">
        <f>26.45/15*18</f>
        <v>31.74</v>
      </c>
      <c r="G59" s="42">
        <f>168.45/15*18</f>
        <v>202.14</v>
      </c>
      <c r="H59" s="48" t="s">
        <v>69</v>
      </c>
    </row>
    <row r="60" spans="1:8" ht="30">
      <c r="A60" s="11"/>
      <c r="B60" s="31" t="s">
        <v>70</v>
      </c>
      <c r="C60" s="41">
        <v>200</v>
      </c>
      <c r="D60" s="41">
        <v>0.4</v>
      </c>
      <c r="E60" s="41">
        <v>0.27</v>
      </c>
      <c r="F60" s="41">
        <v>17.2</v>
      </c>
      <c r="G60" s="41">
        <v>72.8</v>
      </c>
      <c r="H60" s="25" t="s">
        <v>71</v>
      </c>
    </row>
    <row r="61" spans="1:8">
      <c r="A61" s="11"/>
      <c r="B61" s="34" t="s">
        <v>18</v>
      </c>
      <c r="C61" s="35">
        <v>30</v>
      </c>
      <c r="D61" s="35">
        <v>2.2799999999999998</v>
      </c>
      <c r="E61" s="35">
        <v>0.24</v>
      </c>
      <c r="F61" s="35">
        <v>14.8</v>
      </c>
      <c r="G61" s="35">
        <v>70.5</v>
      </c>
      <c r="H61" s="23" t="s">
        <v>19</v>
      </c>
    </row>
    <row r="62" spans="1:8">
      <c r="A62" s="11"/>
      <c r="B62" s="34" t="s">
        <v>36</v>
      </c>
      <c r="C62" s="42">
        <v>30</v>
      </c>
      <c r="D62" s="43">
        <v>1.96</v>
      </c>
      <c r="E62" s="43">
        <f>0.44/40*30</f>
        <v>0.32999999999999996</v>
      </c>
      <c r="F62" s="43">
        <v>10.199999999999999</v>
      </c>
      <c r="G62" s="43">
        <v>69</v>
      </c>
      <c r="H62" s="23" t="s">
        <v>19</v>
      </c>
    </row>
    <row r="63" spans="1:8">
      <c r="A63" s="11"/>
      <c r="B63" s="21" t="s">
        <v>24</v>
      </c>
      <c r="C63" s="44">
        <f>C56+C57+C58+C59+C60+C61+C62</f>
        <v>890</v>
      </c>
      <c r="D63" s="44">
        <f t="shared" ref="D63" si="4">D56+D57+D58+D59+D60+D61+D62</f>
        <v>29.419</v>
      </c>
      <c r="E63" s="44">
        <f>E56+E57+E58+E59+E60+E61+E62</f>
        <v>38.226500000000001</v>
      </c>
      <c r="F63" s="44">
        <f>F56+F57+F58+F59+F60+F61+F62</f>
        <v>99.79</v>
      </c>
      <c r="G63" s="44">
        <f>G56+G57+G58+G59+G60+G61+G62</f>
        <v>881.88999999999987</v>
      </c>
      <c r="H63" s="33"/>
    </row>
    <row r="64" spans="1:8">
      <c r="A64" s="77" t="s">
        <v>72</v>
      </c>
      <c r="B64" s="77"/>
      <c r="C64" s="11"/>
      <c r="D64" s="11"/>
      <c r="E64" s="11"/>
      <c r="F64" s="11"/>
      <c r="G64" s="11"/>
      <c r="H64" s="11"/>
    </row>
    <row r="65" spans="1:8">
      <c r="A65" s="11"/>
      <c r="B65" s="26" t="s">
        <v>13</v>
      </c>
      <c r="C65" s="10"/>
      <c r="D65" s="11"/>
      <c r="E65" s="11"/>
      <c r="F65" s="11"/>
      <c r="G65" s="11"/>
      <c r="H65" s="25"/>
    </row>
    <row r="66" spans="1:8" ht="45">
      <c r="A66" s="11"/>
      <c r="B66" s="23" t="s">
        <v>73</v>
      </c>
      <c r="C66" s="37">
        <v>200</v>
      </c>
      <c r="D66" s="37">
        <f>10.03/150*200</f>
        <v>13.373333333333331</v>
      </c>
      <c r="E66" s="37">
        <f>7.83/150*200</f>
        <v>10.440000000000001</v>
      </c>
      <c r="F66" s="37">
        <f>29.71/150*200</f>
        <v>39.613333333333337</v>
      </c>
      <c r="G66" s="37">
        <f>258.75/150*200</f>
        <v>345</v>
      </c>
      <c r="H66" s="36" t="s">
        <v>74</v>
      </c>
    </row>
    <row r="67" spans="1:8" ht="18" customHeight="1">
      <c r="A67" s="11"/>
      <c r="B67" s="31" t="s">
        <v>75</v>
      </c>
      <c r="C67" s="32">
        <v>200</v>
      </c>
      <c r="D67" s="32">
        <v>4.08</v>
      </c>
      <c r="E67" s="32">
        <v>3</v>
      </c>
      <c r="F67" s="32">
        <v>17.579999999999998</v>
      </c>
      <c r="G67" s="32">
        <v>118.6</v>
      </c>
      <c r="H67" s="33" t="s">
        <v>76</v>
      </c>
    </row>
    <row r="68" spans="1:8">
      <c r="A68" s="11"/>
      <c r="B68" s="34" t="s">
        <v>18</v>
      </c>
      <c r="C68" s="35">
        <v>30</v>
      </c>
      <c r="D68" s="35">
        <v>2.2799999999999998</v>
      </c>
      <c r="E68" s="35">
        <v>0.24</v>
      </c>
      <c r="F68" s="35">
        <v>14.8</v>
      </c>
      <c r="G68" s="35">
        <v>70.5</v>
      </c>
      <c r="H68" s="48" t="s">
        <v>19</v>
      </c>
    </row>
    <row r="69" spans="1:8">
      <c r="A69" s="11"/>
      <c r="B69" s="31" t="s">
        <v>40</v>
      </c>
      <c r="C69" s="53">
        <v>10</v>
      </c>
      <c r="D69" s="41">
        <v>0.1</v>
      </c>
      <c r="E69" s="41">
        <v>7.2</v>
      </c>
      <c r="F69" s="41">
        <v>0.13</v>
      </c>
      <c r="G69" s="41">
        <v>66</v>
      </c>
      <c r="H69" s="25" t="s">
        <v>20</v>
      </c>
    </row>
    <row r="70" spans="1:8">
      <c r="A70" s="11"/>
      <c r="B70" s="23" t="s">
        <v>77</v>
      </c>
      <c r="C70" s="11">
        <v>200</v>
      </c>
      <c r="D70" s="42">
        <v>2</v>
      </c>
      <c r="E70" s="42">
        <v>0</v>
      </c>
      <c r="F70" s="42">
        <v>40.4</v>
      </c>
      <c r="G70" s="42">
        <v>169.6</v>
      </c>
      <c r="H70" s="11"/>
    </row>
    <row r="71" spans="1:8">
      <c r="A71" s="11"/>
      <c r="B71" s="17" t="s">
        <v>24</v>
      </c>
      <c r="C71" s="51">
        <f>C66+C67+C68+C69+C70</f>
        <v>640</v>
      </c>
      <c r="D71" s="51">
        <f t="shared" ref="D71" si="5">D66+D67+D68+D69+D70</f>
        <v>21.833333333333336</v>
      </c>
      <c r="E71" s="51">
        <f>E66+E67+E68+E69+E70</f>
        <v>20.880000000000003</v>
      </c>
      <c r="F71" s="51">
        <f>F66+F67+F68+F69+F70</f>
        <v>112.52333333333334</v>
      </c>
      <c r="G71" s="51">
        <f>G66+G67+G68+G69+G70</f>
        <v>769.7</v>
      </c>
      <c r="H71" s="48"/>
    </row>
    <row r="72" spans="1:8">
      <c r="A72" s="36"/>
      <c r="B72" s="39" t="s">
        <v>25</v>
      </c>
      <c r="C72" s="40"/>
      <c r="D72" s="24"/>
      <c r="E72" s="24"/>
      <c r="F72" s="24"/>
      <c r="G72" s="24"/>
      <c r="H72" s="36"/>
    </row>
    <row r="73" spans="1:8" ht="30">
      <c r="A73" s="36"/>
      <c r="B73" s="23" t="s">
        <v>78</v>
      </c>
      <c r="C73" s="37">
        <v>100</v>
      </c>
      <c r="D73" s="37">
        <v>1.43</v>
      </c>
      <c r="E73" s="37">
        <v>6.09</v>
      </c>
      <c r="F73" s="37">
        <v>8.36</v>
      </c>
      <c r="G73" s="37">
        <v>93.9</v>
      </c>
      <c r="H73" s="36" t="s">
        <v>79</v>
      </c>
    </row>
    <row r="74" spans="1:8">
      <c r="A74" s="33"/>
      <c r="B74" s="31" t="s">
        <v>80</v>
      </c>
      <c r="C74" s="32">
        <v>250</v>
      </c>
      <c r="D74" s="32">
        <f>1.76/2*2.5</f>
        <v>2.2000000000000002</v>
      </c>
      <c r="E74" s="32">
        <f>4.95/2*2.5</f>
        <v>6.1875</v>
      </c>
      <c r="F74" s="32">
        <f>7.9/2*2.5</f>
        <v>9.875</v>
      </c>
      <c r="G74" s="32">
        <f>89.75/2*2.5</f>
        <v>112.1875</v>
      </c>
      <c r="H74" s="33" t="s">
        <v>81</v>
      </c>
    </row>
    <row r="75" spans="1:8">
      <c r="A75" s="36"/>
      <c r="B75" s="23" t="s">
        <v>82</v>
      </c>
      <c r="C75" s="37">
        <v>280</v>
      </c>
      <c r="D75" s="37">
        <f>20.44/20*25</f>
        <v>25.55</v>
      </c>
      <c r="E75" s="37">
        <f>19.76/20*25</f>
        <v>24.700000000000003</v>
      </c>
      <c r="F75" s="37">
        <f>34/20*25</f>
        <v>42.5</v>
      </c>
      <c r="G75" s="37">
        <f>386.66/20*28</f>
        <v>541.32400000000007</v>
      </c>
      <c r="H75" s="36" t="s">
        <v>83</v>
      </c>
    </row>
    <row r="76" spans="1:8">
      <c r="A76" s="33"/>
      <c r="B76" s="31" t="s">
        <v>84</v>
      </c>
      <c r="C76" s="32">
        <v>200</v>
      </c>
      <c r="D76" s="32">
        <v>0.16</v>
      </c>
      <c r="E76" s="32">
        <v>0.16</v>
      </c>
      <c r="F76" s="32">
        <v>23.78</v>
      </c>
      <c r="G76" s="32">
        <v>97.6</v>
      </c>
      <c r="H76" s="33" t="s">
        <v>85</v>
      </c>
    </row>
    <row r="77" spans="1:8">
      <c r="A77" s="23"/>
      <c r="B77" s="34" t="s">
        <v>18</v>
      </c>
      <c r="C77" s="35">
        <v>30</v>
      </c>
      <c r="D77" s="35">
        <v>2.2799999999999998</v>
      </c>
      <c r="E77" s="35">
        <v>0.24</v>
      </c>
      <c r="F77" s="35">
        <v>14.8</v>
      </c>
      <c r="G77" s="35">
        <v>70.5</v>
      </c>
      <c r="H77" s="23" t="s">
        <v>19</v>
      </c>
    </row>
    <row r="78" spans="1:8">
      <c r="A78" s="23"/>
      <c r="B78" s="34" t="s">
        <v>36</v>
      </c>
      <c r="C78" s="42">
        <v>30</v>
      </c>
      <c r="D78" s="43">
        <v>1.96</v>
      </c>
      <c r="E78" s="43">
        <f>0.44/40*30</f>
        <v>0.32999999999999996</v>
      </c>
      <c r="F78" s="43">
        <v>10.199999999999999</v>
      </c>
      <c r="G78" s="43">
        <v>69</v>
      </c>
      <c r="H78" s="23" t="s">
        <v>19</v>
      </c>
    </row>
    <row r="79" spans="1:8">
      <c r="A79" s="33"/>
      <c r="B79" s="21" t="s">
        <v>24</v>
      </c>
      <c r="C79" s="44">
        <f>C73+C74+C75+C76+C77+C78</f>
        <v>890</v>
      </c>
      <c r="D79" s="44">
        <f t="shared" ref="D79" si="6">D73+D74+D75+D76+D77+D78</f>
        <v>33.58</v>
      </c>
      <c r="E79" s="44">
        <f>E73+E74+E75+E76+E77+E78</f>
        <v>37.707500000000003</v>
      </c>
      <c r="F79" s="44">
        <f>F73+F74+F75+F76+F77+F78</f>
        <v>109.515</v>
      </c>
      <c r="G79" s="44">
        <f>G73+G74+G75+G76+G77+G78</f>
        <v>984.51150000000007</v>
      </c>
      <c r="H79" s="33"/>
    </row>
    <row r="80" spans="1:8">
      <c r="A80" s="79" t="s">
        <v>86</v>
      </c>
      <c r="B80" s="79"/>
      <c r="C80" s="54"/>
      <c r="D80" s="54"/>
      <c r="E80" s="54"/>
      <c r="F80" s="54"/>
      <c r="G80" s="54"/>
      <c r="H80" s="54"/>
    </row>
    <row r="81" spans="1:8">
      <c r="A81" s="25"/>
      <c r="B81" s="9" t="s">
        <v>13</v>
      </c>
      <c r="C81" s="10"/>
      <c r="D81" s="11"/>
      <c r="E81" s="11"/>
      <c r="F81" s="11"/>
      <c r="G81" s="11"/>
      <c r="H81" s="11"/>
    </row>
    <row r="82" spans="1:8" ht="30">
      <c r="A82" s="54"/>
      <c r="B82" s="23" t="s">
        <v>87</v>
      </c>
      <c r="C82" s="37">
        <v>210</v>
      </c>
      <c r="D82" s="37">
        <f>12.18/180*210</f>
        <v>14.21</v>
      </c>
      <c r="E82" s="37">
        <f>8.33/180*210</f>
        <v>9.7183333333333337</v>
      </c>
      <c r="F82" s="37">
        <f>30.7/180*210</f>
        <v>35.816666666666663</v>
      </c>
      <c r="G82" s="37">
        <f>300.96/180*210</f>
        <v>351.12</v>
      </c>
      <c r="H82" s="36" t="s">
        <v>88</v>
      </c>
    </row>
    <row r="83" spans="1:8">
      <c r="A83" s="54"/>
      <c r="B83" s="31" t="s">
        <v>16</v>
      </c>
      <c r="C83" s="32">
        <v>200</v>
      </c>
      <c r="D83" s="32">
        <v>0.53</v>
      </c>
      <c r="E83" s="32">
        <v>0</v>
      </c>
      <c r="F83" s="32">
        <v>9.4700000000000006</v>
      </c>
      <c r="G83" s="32">
        <v>60</v>
      </c>
      <c r="H83" s="33" t="s">
        <v>17</v>
      </c>
    </row>
    <row r="84" spans="1:8">
      <c r="A84" s="54"/>
      <c r="B84" s="34" t="s">
        <v>18</v>
      </c>
      <c r="C84" s="35">
        <v>30</v>
      </c>
      <c r="D84" s="35">
        <v>2.2799999999999998</v>
      </c>
      <c r="E84" s="35">
        <v>0.24</v>
      </c>
      <c r="F84" s="35">
        <v>14.8</v>
      </c>
      <c r="G84" s="35">
        <v>70.5</v>
      </c>
      <c r="H84" s="48" t="s">
        <v>19</v>
      </c>
    </row>
    <row r="85" spans="1:8">
      <c r="A85" s="54"/>
      <c r="B85" s="31" t="s">
        <v>40</v>
      </c>
      <c r="C85" s="53">
        <v>10</v>
      </c>
      <c r="D85" s="41">
        <v>0.1</v>
      </c>
      <c r="E85" s="41">
        <v>7.2</v>
      </c>
      <c r="F85" s="41">
        <v>0.13</v>
      </c>
      <c r="G85" s="41">
        <v>66</v>
      </c>
      <c r="H85" s="25" t="s">
        <v>20</v>
      </c>
    </row>
    <row r="86" spans="1:8">
      <c r="A86" s="54"/>
      <c r="B86" s="23" t="s">
        <v>89</v>
      </c>
      <c r="C86" s="37">
        <v>100</v>
      </c>
      <c r="D86" s="37">
        <v>0.4</v>
      </c>
      <c r="E86" s="37">
        <v>0.4</v>
      </c>
      <c r="F86" s="37">
        <v>9.8000000000000007</v>
      </c>
      <c r="G86" s="37">
        <v>47</v>
      </c>
      <c r="H86" s="48"/>
    </row>
    <row r="87" spans="1:8">
      <c r="A87" s="54"/>
      <c r="B87" s="17" t="s">
        <v>24</v>
      </c>
      <c r="C87" s="51">
        <f>C82+C83+C84+C85+C86</f>
        <v>550</v>
      </c>
      <c r="D87" s="51">
        <f>D82+D83+D84+D85+D86</f>
        <v>17.52</v>
      </c>
      <c r="E87" s="51">
        <f>E82+E83+E84+E85+E86</f>
        <v>17.558333333333334</v>
      </c>
      <c r="F87" s="51">
        <f>F82+F83+F84+F85+F86</f>
        <v>70.016666666666666</v>
      </c>
      <c r="G87" s="51">
        <f>G82+G83+G84+G85+G86</f>
        <v>594.62</v>
      </c>
      <c r="H87" s="11"/>
    </row>
    <row r="88" spans="1:8">
      <c r="A88" s="36"/>
      <c r="B88" s="39" t="s">
        <v>25</v>
      </c>
      <c r="C88" s="40"/>
      <c r="D88" s="24"/>
      <c r="E88" s="24"/>
      <c r="F88" s="24"/>
      <c r="G88" s="24"/>
      <c r="H88" s="11"/>
    </row>
    <row r="89" spans="1:8" ht="30">
      <c r="A89" s="54"/>
      <c r="B89" s="31" t="s">
        <v>90</v>
      </c>
      <c r="C89" s="32">
        <v>100</v>
      </c>
      <c r="D89" s="32">
        <v>1.08</v>
      </c>
      <c r="E89" s="32">
        <v>0.18</v>
      </c>
      <c r="F89" s="32">
        <v>8.6199999999999992</v>
      </c>
      <c r="G89" s="32">
        <v>40.4</v>
      </c>
      <c r="H89" s="25" t="s">
        <v>91</v>
      </c>
    </row>
    <row r="90" spans="1:8" ht="30">
      <c r="A90" s="54"/>
      <c r="B90" s="23" t="s">
        <v>92</v>
      </c>
      <c r="C90" s="37">
        <v>250</v>
      </c>
      <c r="D90" s="37">
        <f>2.18/2*2.5</f>
        <v>2.7250000000000001</v>
      </c>
      <c r="E90" s="37">
        <f>7.24/2*2.5</f>
        <v>9.0500000000000007</v>
      </c>
      <c r="F90" s="37">
        <f>16.36/2*2.5</f>
        <v>20.45</v>
      </c>
      <c r="G90" s="37">
        <f>94.32/2*2.5</f>
        <v>117.89999999999999</v>
      </c>
      <c r="H90" s="36" t="s">
        <v>93</v>
      </c>
    </row>
    <row r="91" spans="1:8">
      <c r="A91" s="54"/>
      <c r="B91" s="23" t="s">
        <v>100</v>
      </c>
      <c r="C91" s="37">
        <v>100</v>
      </c>
      <c r="D91" s="37">
        <v>13.26</v>
      </c>
      <c r="E91" s="37">
        <v>11.23</v>
      </c>
      <c r="F91" s="37">
        <v>3.52</v>
      </c>
      <c r="G91" s="37">
        <v>185</v>
      </c>
      <c r="H91" s="36" t="s">
        <v>94</v>
      </c>
    </row>
    <row r="92" spans="1:8">
      <c r="A92" s="54"/>
      <c r="B92" s="31" t="s">
        <v>56</v>
      </c>
      <c r="C92" s="41">
        <v>180</v>
      </c>
      <c r="D92" s="49">
        <f>4.04/20*18</f>
        <v>3.6360000000000001</v>
      </c>
      <c r="E92" s="49">
        <f>6.4/20*18</f>
        <v>5.76</v>
      </c>
      <c r="F92" s="49">
        <f>27.26/20*18</f>
        <v>24.533999999999999</v>
      </c>
      <c r="G92" s="49">
        <f>183/20*18</f>
        <v>164.70000000000002</v>
      </c>
      <c r="H92" s="25" t="s">
        <v>57</v>
      </c>
    </row>
    <row r="93" spans="1:8">
      <c r="A93" s="54"/>
      <c r="B93" s="31" t="s">
        <v>95</v>
      </c>
      <c r="C93" s="32">
        <v>200</v>
      </c>
      <c r="D93" s="32">
        <v>0.16</v>
      </c>
      <c r="E93" s="32">
        <v>0.08</v>
      </c>
      <c r="F93" s="32">
        <v>27.5</v>
      </c>
      <c r="G93" s="32">
        <v>111.36</v>
      </c>
      <c r="H93" s="33" t="s">
        <v>96</v>
      </c>
    </row>
    <row r="94" spans="1:8">
      <c r="A94" s="54"/>
      <c r="B94" s="34" t="s">
        <v>18</v>
      </c>
      <c r="C94" s="35">
        <v>30</v>
      </c>
      <c r="D94" s="35">
        <v>2.2799999999999998</v>
      </c>
      <c r="E94" s="35">
        <v>0.24</v>
      </c>
      <c r="F94" s="35">
        <v>14.8</v>
      </c>
      <c r="G94" s="35">
        <v>70.5</v>
      </c>
      <c r="H94" s="23" t="s">
        <v>19</v>
      </c>
    </row>
    <row r="95" spans="1:8">
      <c r="A95" s="54"/>
      <c r="B95" s="34" t="s">
        <v>36</v>
      </c>
      <c r="C95" s="42">
        <v>30</v>
      </c>
      <c r="D95" s="43">
        <v>1.96</v>
      </c>
      <c r="E95" s="43">
        <f>0.44/40*30</f>
        <v>0.32999999999999996</v>
      </c>
      <c r="F95" s="43">
        <v>10.199999999999999</v>
      </c>
      <c r="G95" s="43">
        <v>69</v>
      </c>
      <c r="H95" s="23" t="s">
        <v>19</v>
      </c>
    </row>
    <row r="96" spans="1:8">
      <c r="A96" s="33"/>
      <c r="B96" s="21" t="s">
        <v>24</v>
      </c>
      <c r="C96" s="44">
        <f>C89+C90+C91+C92+C94+C95+C93</f>
        <v>890</v>
      </c>
      <c r="D96" s="44">
        <f t="shared" ref="D96:F96" si="7">D89+D90+D91+D92+D94+D95+D93</f>
        <v>25.101000000000003</v>
      </c>
      <c r="E96" s="44">
        <f t="shared" si="7"/>
        <v>26.869999999999994</v>
      </c>
      <c r="F96" s="44">
        <f t="shared" si="7"/>
        <v>109.62400000000001</v>
      </c>
      <c r="G96" s="44">
        <f>G89+G90+G91+G92+G94+G95+G93</f>
        <v>758.86</v>
      </c>
      <c r="H96" s="11"/>
    </row>
    <row r="97" spans="1:8">
      <c r="A97" s="54"/>
      <c r="B97" s="55" t="s">
        <v>101</v>
      </c>
      <c r="C97" s="11"/>
      <c r="D97" s="11"/>
      <c r="E97" s="11"/>
      <c r="F97" s="11"/>
      <c r="G97" s="11"/>
      <c r="H97" s="11"/>
    </row>
    <row r="98" spans="1:8">
      <c r="A98" s="25"/>
      <c r="B98" s="9" t="s">
        <v>13</v>
      </c>
      <c r="C98" s="10"/>
      <c r="D98" s="11"/>
      <c r="E98" s="11"/>
      <c r="F98" s="11"/>
      <c r="G98" s="11"/>
      <c r="H98" s="11"/>
    </row>
    <row r="99" spans="1:8">
      <c r="A99" s="54"/>
      <c r="B99" s="31" t="s">
        <v>103</v>
      </c>
      <c r="C99" s="32">
        <v>200</v>
      </c>
      <c r="D99" s="32">
        <f>5.31/150*200</f>
        <v>7.0799999999999992</v>
      </c>
      <c r="E99" s="32">
        <f>3.19/150*200</f>
        <v>4.253333333333333</v>
      </c>
      <c r="F99" s="32">
        <f>33.5/150*200</f>
        <v>44.666666666666664</v>
      </c>
      <c r="G99" s="32">
        <f>184.29/150*200</f>
        <v>245.71999999999997</v>
      </c>
      <c r="H99" s="33" t="s">
        <v>102</v>
      </c>
    </row>
    <row r="100" spans="1:8">
      <c r="A100" s="54"/>
      <c r="B100" s="31" t="s">
        <v>104</v>
      </c>
      <c r="C100" s="32">
        <v>200</v>
      </c>
      <c r="D100" s="32">
        <v>0.53</v>
      </c>
      <c r="E100" s="32">
        <v>0</v>
      </c>
      <c r="F100" s="32">
        <v>9.4700000000000006</v>
      </c>
      <c r="G100" s="32">
        <v>60</v>
      </c>
      <c r="H100" s="33" t="s">
        <v>17</v>
      </c>
    </row>
    <row r="101" spans="1:8">
      <c r="A101" s="54"/>
      <c r="B101" s="34" t="s">
        <v>18</v>
      </c>
      <c r="C101" s="35">
        <v>30</v>
      </c>
      <c r="D101" s="35">
        <v>2.2799999999999998</v>
      </c>
      <c r="E101" s="35">
        <v>0.24</v>
      </c>
      <c r="F101" s="35">
        <v>14.8</v>
      </c>
      <c r="G101" s="35">
        <v>70.5</v>
      </c>
      <c r="H101" s="36" t="s">
        <v>19</v>
      </c>
    </row>
    <row r="102" spans="1:8">
      <c r="A102" s="54"/>
      <c r="B102" s="31" t="s">
        <v>144</v>
      </c>
      <c r="C102" s="32">
        <v>10</v>
      </c>
      <c r="D102" s="32">
        <v>0.1</v>
      </c>
      <c r="E102" s="32">
        <v>7.2</v>
      </c>
      <c r="F102" s="32">
        <v>0.13</v>
      </c>
      <c r="G102" s="32">
        <v>66</v>
      </c>
      <c r="H102" s="33" t="s">
        <v>20</v>
      </c>
    </row>
    <row r="103" spans="1:8">
      <c r="A103" s="54"/>
      <c r="B103" s="31" t="s">
        <v>98</v>
      </c>
      <c r="C103" s="37">
        <v>15</v>
      </c>
      <c r="D103" s="37">
        <v>5.48</v>
      </c>
      <c r="E103" s="32">
        <v>4.43</v>
      </c>
      <c r="F103" s="32">
        <v>0</v>
      </c>
      <c r="G103" s="32">
        <v>53.75</v>
      </c>
      <c r="H103" s="33" t="s">
        <v>22</v>
      </c>
    </row>
    <row r="104" spans="1:8">
      <c r="A104" s="54"/>
      <c r="B104" s="23" t="s">
        <v>89</v>
      </c>
      <c r="C104" s="37">
        <v>100</v>
      </c>
      <c r="D104" s="37">
        <v>0.4</v>
      </c>
      <c r="E104" s="37">
        <v>0.4</v>
      </c>
      <c r="F104" s="37">
        <v>9.8000000000000007</v>
      </c>
      <c r="G104" s="37">
        <v>47</v>
      </c>
      <c r="H104" s="11"/>
    </row>
    <row r="105" spans="1:8">
      <c r="A105" s="33"/>
      <c r="B105" s="24" t="s">
        <v>24</v>
      </c>
      <c r="C105" s="56">
        <f>C99+C100+C101+C102+C103+C104</f>
        <v>555</v>
      </c>
      <c r="D105" s="56">
        <f t="shared" ref="D105:G105" si="8">D99+D100+D101+D102+D103+D104</f>
        <v>15.87</v>
      </c>
      <c r="E105" s="56">
        <f t="shared" si="8"/>
        <v>16.523333333333333</v>
      </c>
      <c r="F105" s="56">
        <f t="shared" si="8"/>
        <v>78.86666666666666</v>
      </c>
      <c r="G105" s="56">
        <f t="shared" si="8"/>
        <v>542.97</v>
      </c>
      <c r="H105" s="11"/>
    </row>
    <row r="106" spans="1:8">
      <c r="A106" s="36"/>
      <c r="B106" s="39" t="s">
        <v>25</v>
      </c>
      <c r="C106" s="40"/>
      <c r="D106" s="24"/>
      <c r="E106" s="24"/>
      <c r="F106" s="24"/>
      <c r="G106" s="24"/>
      <c r="H106" s="11"/>
    </row>
    <row r="107" spans="1:8">
      <c r="A107" s="54"/>
      <c r="B107" s="31" t="s">
        <v>105</v>
      </c>
      <c r="C107" s="32">
        <v>100</v>
      </c>
      <c r="D107" s="32">
        <v>0.7</v>
      </c>
      <c r="E107" s="32">
        <v>0.1</v>
      </c>
      <c r="F107" s="32">
        <v>1.9</v>
      </c>
      <c r="G107" s="32">
        <v>12</v>
      </c>
      <c r="H107" s="33" t="s">
        <v>27</v>
      </c>
    </row>
    <row r="108" spans="1:8">
      <c r="A108" s="54"/>
      <c r="B108" s="31" t="s">
        <v>107</v>
      </c>
      <c r="C108" s="32">
        <f>200/2*2.5</f>
        <v>250</v>
      </c>
      <c r="D108" s="32">
        <f>3.44/2*2.5</f>
        <v>4.3</v>
      </c>
      <c r="E108" s="32">
        <f>3.92/2*2.5</f>
        <v>4.9000000000000004</v>
      </c>
      <c r="F108" s="32">
        <f>10.44/2*2.5</f>
        <v>13.049999999999999</v>
      </c>
      <c r="G108" s="32">
        <f>86.8/2*2.5</f>
        <v>108.5</v>
      </c>
      <c r="H108" s="33" t="s">
        <v>106</v>
      </c>
    </row>
    <row r="109" spans="1:8" ht="30">
      <c r="A109" s="54"/>
      <c r="B109" s="31" t="s">
        <v>143</v>
      </c>
      <c r="C109" s="32">
        <v>120</v>
      </c>
      <c r="D109" s="32">
        <f>8.96/11*12</f>
        <v>9.7745454545454553</v>
      </c>
      <c r="E109" s="32">
        <f>16.11/11*12</f>
        <v>17.574545454545454</v>
      </c>
      <c r="F109" s="32">
        <f>10.31/11*12</f>
        <v>11.247272727272728</v>
      </c>
      <c r="G109" s="32">
        <f>223/11*12</f>
        <v>243.27272727272728</v>
      </c>
      <c r="H109" s="33" t="s">
        <v>108</v>
      </c>
    </row>
    <row r="110" spans="1:8">
      <c r="A110" s="54"/>
      <c r="B110" s="31" t="s">
        <v>110</v>
      </c>
      <c r="C110" s="32">
        <v>180</v>
      </c>
      <c r="D110" s="32">
        <f>3.64/15*18</f>
        <v>4.3680000000000003</v>
      </c>
      <c r="E110" s="32">
        <f>4.22/15*18</f>
        <v>5.0640000000000001</v>
      </c>
      <c r="F110" s="32">
        <f>30.67/15*18</f>
        <v>36.804000000000002</v>
      </c>
      <c r="G110" s="32">
        <f>199.95/15*18</f>
        <v>239.94</v>
      </c>
      <c r="H110" s="33" t="s">
        <v>109</v>
      </c>
    </row>
    <row r="111" spans="1:8">
      <c r="A111" s="54"/>
      <c r="B111" s="31" t="s">
        <v>84</v>
      </c>
      <c r="C111" s="32">
        <v>200</v>
      </c>
      <c r="D111" s="32">
        <v>0.16</v>
      </c>
      <c r="E111" s="32">
        <v>0.16</v>
      </c>
      <c r="F111" s="32">
        <v>23.78</v>
      </c>
      <c r="G111" s="32">
        <v>97.6</v>
      </c>
      <c r="H111" s="33" t="s">
        <v>85</v>
      </c>
    </row>
    <row r="112" spans="1:8">
      <c r="A112" s="54"/>
      <c r="B112" s="34" t="s">
        <v>18</v>
      </c>
      <c r="C112" s="35">
        <v>30</v>
      </c>
      <c r="D112" s="35">
        <v>2.2799999999999998</v>
      </c>
      <c r="E112" s="35">
        <v>0.24</v>
      </c>
      <c r="F112" s="35">
        <v>14.8</v>
      </c>
      <c r="G112" s="35">
        <v>70.5</v>
      </c>
      <c r="H112" s="23" t="s">
        <v>19</v>
      </c>
    </row>
    <row r="113" spans="1:8">
      <c r="A113" s="54"/>
      <c r="B113" s="34" t="s">
        <v>36</v>
      </c>
      <c r="C113" s="42">
        <v>30</v>
      </c>
      <c r="D113" s="43">
        <v>1.96</v>
      </c>
      <c r="E113" s="43">
        <f>0.44/40*30</f>
        <v>0.32999999999999996</v>
      </c>
      <c r="F113" s="43">
        <v>10.199999999999999</v>
      </c>
      <c r="G113" s="43">
        <v>69</v>
      </c>
      <c r="H113" s="23" t="s">
        <v>19</v>
      </c>
    </row>
    <row r="114" spans="1:8">
      <c r="A114" s="54"/>
      <c r="B114" s="21" t="s">
        <v>24</v>
      </c>
      <c r="C114" s="44">
        <f>C107+C108+C109+C110+C112+C113+C111</f>
        <v>910</v>
      </c>
      <c r="D114" s="44">
        <f t="shared" ref="D114:G114" si="9">D107+D108+D109+D110+D112+D113+D111</f>
        <v>23.542545454545458</v>
      </c>
      <c r="E114" s="44">
        <f t="shared" si="9"/>
        <v>28.368545454545451</v>
      </c>
      <c r="F114" s="44">
        <f t="shared" si="9"/>
        <v>111.78127272727274</v>
      </c>
      <c r="G114" s="44">
        <f t="shared" si="9"/>
        <v>840.81272727272733</v>
      </c>
      <c r="H114" s="33"/>
    </row>
    <row r="115" spans="1:8">
      <c r="A115" s="54"/>
      <c r="B115" s="55" t="s">
        <v>111</v>
      </c>
      <c r="C115" s="11"/>
      <c r="D115" s="11"/>
      <c r="E115" s="11"/>
      <c r="F115" s="11"/>
      <c r="G115" s="11"/>
      <c r="H115" s="11"/>
    </row>
    <row r="116" spans="1:8">
      <c r="A116" s="25"/>
      <c r="B116" s="26" t="s">
        <v>13</v>
      </c>
      <c r="C116" s="10"/>
      <c r="D116" s="11"/>
      <c r="E116" s="11"/>
      <c r="F116" s="11"/>
      <c r="G116" s="11"/>
      <c r="H116" s="11"/>
    </row>
    <row r="117" spans="1:8" ht="45">
      <c r="A117" s="54"/>
      <c r="B117" s="31" t="s">
        <v>113</v>
      </c>
      <c r="C117" s="32">
        <v>200</v>
      </c>
      <c r="D117" s="32">
        <f>5.88/150*200</f>
        <v>7.84</v>
      </c>
      <c r="E117" s="32">
        <f>5.45/150*200</f>
        <v>7.2666666666666675</v>
      </c>
      <c r="F117" s="32">
        <f>26.63/150*200</f>
        <v>35.506666666666661</v>
      </c>
      <c r="G117" s="32">
        <f>192.92/150*200</f>
        <v>257.22666666666669</v>
      </c>
      <c r="H117" s="33" t="s">
        <v>112</v>
      </c>
    </row>
    <row r="118" spans="1:8">
      <c r="A118" s="54"/>
      <c r="B118" s="34" t="s">
        <v>18</v>
      </c>
      <c r="C118" s="35">
        <v>30</v>
      </c>
      <c r="D118" s="35">
        <v>2.2799999999999998</v>
      </c>
      <c r="E118" s="35">
        <v>0.24</v>
      </c>
      <c r="F118" s="35">
        <v>14.8</v>
      </c>
      <c r="G118" s="35">
        <v>70.5</v>
      </c>
      <c r="H118" s="36" t="s">
        <v>19</v>
      </c>
    </row>
    <row r="119" spans="1:8">
      <c r="A119" s="54"/>
      <c r="B119" s="31" t="s">
        <v>144</v>
      </c>
      <c r="C119" s="32">
        <v>10</v>
      </c>
      <c r="D119" s="32">
        <v>0.1</v>
      </c>
      <c r="E119" s="32">
        <v>7.2</v>
      </c>
      <c r="F119" s="32">
        <v>0.13</v>
      </c>
      <c r="G119" s="32">
        <v>66</v>
      </c>
      <c r="H119" s="33" t="s">
        <v>20</v>
      </c>
    </row>
    <row r="120" spans="1:8">
      <c r="A120" s="54"/>
      <c r="B120" s="31" t="s">
        <v>75</v>
      </c>
      <c r="C120" s="32">
        <v>200</v>
      </c>
      <c r="D120" s="32">
        <v>4.08</v>
      </c>
      <c r="E120" s="32">
        <v>3</v>
      </c>
      <c r="F120" s="32">
        <v>17.579999999999998</v>
      </c>
      <c r="G120" s="32">
        <v>118.6</v>
      </c>
      <c r="H120" s="33" t="s">
        <v>76</v>
      </c>
    </row>
    <row r="121" spans="1:8">
      <c r="A121" s="57"/>
      <c r="B121" s="45" t="s">
        <v>77</v>
      </c>
      <c r="C121" s="45">
        <v>200</v>
      </c>
      <c r="D121" s="45">
        <v>2</v>
      </c>
      <c r="E121" s="45">
        <v>0</v>
      </c>
      <c r="F121" s="45">
        <v>40.4</v>
      </c>
      <c r="G121" s="45">
        <v>169.6</v>
      </c>
      <c r="H121" s="11"/>
    </row>
    <row r="122" spans="1:8">
      <c r="A122" s="54"/>
      <c r="B122" s="24" t="s">
        <v>24</v>
      </c>
      <c r="C122" s="58">
        <f>C117+C118+C119+C120+C121</f>
        <v>640</v>
      </c>
      <c r="D122" s="58">
        <f t="shared" ref="D122:G122" si="10">D117+D118+D119+D120</f>
        <v>14.299999999999999</v>
      </c>
      <c r="E122" s="58">
        <f t="shared" si="10"/>
        <v>17.706666666666667</v>
      </c>
      <c r="F122" s="58">
        <f t="shared" si="10"/>
        <v>68.016666666666652</v>
      </c>
      <c r="G122" s="58">
        <f t="shared" si="10"/>
        <v>512.32666666666671</v>
      </c>
      <c r="H122" s="11"/>
    </row>
    <row r="123" spans="1:8">
      <c r="A123" s="36"/>
      <c r="B123" s="39" t="s">
        <v>25</v>
      </c>
      <c r="C123" s="40"/>
      <c r="D123" s="24"/>
      <c r="E123" s="24"/>
      <c r="F123" s="24"/>
      <c r="G123" s="24"/>
      <c r="H123" s="11"/>
    </row>
    <row r="124" spans="1:8" ht="30">
      <c r="A124" s="54"/>
      <c r="B124" s="31" t="s">
        <v>115</v>
      </c>
      <c r="C124" s="32">
        <v>100</v>
      </c>
      <c r="D124" s="32">
        <v>0.76</v>
      </c>
      <c r="E124" s="32">
        <v>6.09</v>
      </c>
      <c r="F124" s="32">
        <v>2.38</v>
      </c>
      <c r="G124" s="32">
        <v>67.3</v>
      </c>
      <c r="H124" s="33" t="s">
        <v>114</v>
      </c>
    </row>
    <row r="125" spans="1:8">
      <c r="A125" s="54"/>
      <c r="B125" s="33" t="s">
        <v>117</v>
      </c>
      <c r="C125" s="32">
        <v>250</v>
      </c>
      <c r="D125" s="32">
        <f>2.08/2*2.5</f>
        <v>2.6</v>
      </c>
      <c r="E125" s="32">
        <f>2/2*2.5</f>
        <v>2.5</v>
      </c>
      <c r="F125" s="32">
        <f>13.58/2*2.5</f>
        <v>16.975000000000001</v>
      </c>
      <c r="G125" s="32">
        <f>80.64/2*2.5</f>
        <v>100.8</v>
      </c>
      <c r="H125" s="33" t="s">
        <v>116</v>
      </c>
    </row>
    <row r="126" spans="1:8" ht="30">
      <c r="A126" s="54"/>
      <c r="B126" s="23" t="s">
        <v>119</v>
      </c>
      <c r="C126" s="37">
        <v>280</v>
      </c>
      <c r="D126" s="37">
        <f>17.25/20*28</f>
        <v>24.150000000000002</v>
      </c>
      <c r="E126" s="37">
        <f>15/20*28</f>
        <v>21</v>
      </c>
      <c r="F126" s="37">
        <f>7/20*28</f>
        <v>9.7999999999999989</v>
      </c>
      <c r="G126" s="37">
        <f>256/20*28</f>
        <v>358.40000000000003</v>
      </c>
      <c r="H126" s="36" t="s">
        <v>118</v>
      </c>
    </row>
    <row r="127" spans="1:8">
      <c r="A127" s="54"/>
      <c r="B127" s="31" t="s">
        <v>53</v>
      </c>
      <c r="C127" s="32">
        <v>200</v>
      </c>
      <c r="D127" s="32">
        <v>1.1599999999999999</v>
      </c>
      <c r="E127" s="32">
        <v>0.3</v>
      </c>
      <c r="F127" s="32">
        <v>47.26</v>
      </c>
      <c r="G127" s="32">
        <v>196.38</v>
      </c>
      <c r="H127" s="33" t="s">
        <v>54</v>
      </c>
    </row>
    <row r="128" spans="1:8">
      <c r="A128" s="54"/>
      <c r="B128" s="34" t="s">
        <v>18</v>
      </c>
      <c r="C128" s="35">
        <v>30</v>
      </c>
      <c r="D128" s="35">
        <v>2.2799999999999998</v>
      </c>
      <c r="E128" s="35">
        <v>0.24</v>
      </c>
      <c r="F128" s="35">
        <v>14.8</v>
      </c>
      <c r="G128" s="35">
        <v>70.5</v>
      </c>
      <c r="H128" s="23" t="s">
        <v>19</v>
      </c>
    </row>
    <row r="129" spans="1:8">
      <c r="A129" s="54"/>
      <c r="B129" s="34" t="s">
        <v>36</v>
      </c>
      <c r="C129" s="42">
        <v>30</v>
      </c>
      <c r="D129" s="43">
        <v>1.96</v>
      </c>
      <c r="E129" s="43">
        <f>0.44/40*30</f>
        <v>0.32999999999999996</v>
      </c>
      <c r="F129" s="43">
        <v>10.199999999999999</v>
      </c>
      <c r="G129" s="43">
        <v>69</v>
      </c>
      <c r="H129" s="23" t="s">
        <v>19</v>
      </c>
    </row>
    <row r="130" spans="1:8">
      <c r="A130" s="33"/>
      <c r="B130" s="21" t="s">
        <v>24</v>
      </c>
      <c r="C130" s="44">
        <f>C124+C125+C126+C127+C128+C129</f>
        <v>890</v>
      </c>
      <c r="D130" s="44">
        <f t="shared" ref="D130:G130" si="11">D124+D125+D126+D127+D128+D129</f>
        <v>32.910000000000004</v>
      </c>
      <c r="E130" s="44">
        <f t="shared" si="11"/>
        <v>30.459999999999997</v>
      </c>
      <c r="F130" s="44">
        <f t="shared" si="11"/>
        <v>101.41499999999999</v>
      </c>
      <c r="G130" s="44">
        <f t="shared" si="11"/>
        <v>862.38</v>
      </c>
      <c r="H130" s="11"/>
    </row>
    <row r="131" spans="1:8">
      <c r="A131" s="33"/>
      <c r="B131" s="21"/>
      <c r="C131" s="44"/>
      <c r="D131" s="44"/>
      <c r="E131" s="44"/>
      <c r="F131" s="44"/>
      <c r="G131" s="44"/>
      <c r="H131" s="11"/>
    </row>
    <row r="132" spans="1:8">
      <c r="A132" s="54"/>
      <c r="B132" s="55" t="s">
        <v>120</v>
      </c>
      <c r="C132" s="11"/>
      <c r="D132" s="11"/>
      <c r="E132" s="11"/>
      <c r="F132" s="11"/>
      <c r="G132" s="11"/>
      <c r="H132" s="11"/>
    </row>
    <row r="133" spans="1:8">
      <c r="A133" s="25"/>
      <c r="B133" s="26" t="s">
        <v>13</v>
      </c>
      <c r="C133" s="10"/>
      <c r="D133" s="11"/>
      <c r="E133" s="11"/>
      <c r="F133" s="11"/>
      <c r="G133" s="11"/>
      <c r="H133" s="11"/>
    </row>
    <row r="134" spans="1:8">
      <c r="A134" s="54"/>
      <c r="B134" s="31" t="s">
        <v>121</v>
      </c>
      <c r="C134" s="32">
        <v>250</v>
      </c>
      <c r="D134" s="32">
        <f>5.53/150*250</f>
        <v>9.2166666666666668</v>
      </c>
      <c r="E134" s="32">
        <f>3.99/150*250</f>
        <v>6.65</v>
      </c>
      <c r="F134" s="32">
        <f>31.51/150*250</f>
        <v>52.516666666666673</v>
      </c>
      <c r="G134" s="32">
        <f>184.29/150*250</f>
        <v>307.14999999999998</v>
      </c>
      <c r="H134" s="33" t="s">
        <v>102</v>
      </c>
    </row>
    <row r="135" spans="1:8">
      <c r="A135" s="54"/>
      <c r="B135" s="31" t="s">
        <v>16</v>
      </c>
      <c r="C135" s="32">
        <v>200</v>
      </c>
      <c r="D135" s="32">
        <v>0.53</v>
      </c>
      <c r="E135" s="32">
        <v>0</v>
      </c>
      <c r="F135" s="32">
        <v>9.4700000000000006</v>
      </c>
      <c r="G135" s="32">
        <v>60</v>
      </c>
      <c r="H135" s="33" t="s">
        <v>17</v>
      </c>
    </row>
    <row r="136" spans="1:8">
      <c r="A136" s="54"/>
      <c r="B136" s="34" t="s">
        <v>18</v>
      </c>
      <c r="C136" s="35">
        <v>30</v>
      </c>
      <c r="D136" s="35">
        <v>2.2799999999999998</v>
      </c>
      <c r="E136" s="35">
        <v>0.24</v>
      </c>
      <c r="F136" s="35">
        <v>14.8</v>
      </c>
      <c r="G136" s="35">
        <v>70.5</v>
      </c>
      <c r="H136" s="36" t="s">
        <v>19</v>
      </c>
    </row>
    <row r="137" spans="1:8">
      <c r="A137" s="54"/>
      <c r="B137" s="31" t="s">
        <v>144</v>
      </c>
      <c r="C137" s="32">
        <v>10</v>
      </c>
      <c r="D137" s="32">
        <v>0.1</v>
      </c>
      <c r="E137" s="32">
        <v>7.2</v>
      </c>
      <c r="F137" s="32">
        <v>0.13</v>
      </c>
      <c r="G137" s="32">
        <v>66</v>
      </c>
      <c r="H137" s="33" t="s">
        <v>20</v>
      </c>
    </row>
    <row r="138" spans="1:8">
      <c r="A138" s="54"/>
      <c r="B138" s="31" t="s">
        <v>98</v>
      </c>
      <c r="C138" s="37">
        <v>15</v>
      </c>
      <c r="D138" s="37">
        <v>5.48</v>
      </c>
      <c r="E138" s="32">
        <v>4.43</v>
      </c>
      <c r="F138" s="32">
        <v>0</v>
      </c>
      <c r="G138" s="32">
        <v>53.75</v>
      </c>
      <c r="H138" s="33" t="s">
        <v>22</v>
      </c>
    </row>
    <row r="139" spans="1:8">
      <c r="A139" s="54"/>
      <c r="B139" s="23" t="s">
        <v>122</v>
      </c>
      <c r="C139" s="37">
        <v>60</v>
      </c>
      <c r="D139" s="37">
        <v>6.76</v>
      </c>
      <c r="E139" s="37">
        <v>7.54</v>
      </c>
      <c r="F139" s="37">
        <v>71.58</v>
      </c>
      <c r="G139" s="37">
        <v>380.17</v>
      </c>
      <c r="H139" s="11"/>
    </row>
    <row r="140" spans="1:8">
      <c r="A140" s="54"/>
      <c r="B140" s="24" t="s">
        <v>24</v>
      </c>
      <c r="C140" s="38">
        <f>C134+C135+C136+C137+C138+C139</f>
        <v>565</v>
      </c>
      <c r="D140" s="38">
        <f t="shared" ref="D140:G140" si="12">D134+D135+D136+D137+D138</f>
        <v>17.606666666666666</v>
      </c>
      <c r="E140" s="38">
        <f t="shared" si="12"/>
        <v>18.52</v>
      </c>
      <c r="F140" s="38">
        <f t="shared" si="12"/>
        <v>76.916666666666671</v>
      </c>
      <c r="G140" s="38">
        <f t="shared" si="12"/>
        <v>557.4</v>
      </c>
      <c r="H140" s="36"/>
    </row>
    <row r="141" spans="1:8">
      <c r="A141" s="54"/>
      <c r="B141" s="39" t="s">
        <v>25</v>
      </c>
      <c r="C141" s="40"/>
      <c r="D141" s="24"/>
      <c r="E141" s="24"/>
      <c r="F141" s="24"/>
      <c r="G141" s="24"/>
      <c r="H141" s="36"/>
    </row>
    <row r="142" spans="1:8">
      <c r="A142" s="54"/>
      <c r="B142" s="31" t="s">
        <v>124</v>
      </c>
      <c r="C142" s="32">
        <v>100</v>
      </c>
      <c r="D142" s="32">
        <v>1.57</v>
      </c>
      <c r="E142" s="32">
        <v>6.02</v>
      </c>
      <c r="F142" s="32">
        <v>8.7899999999999991</v>
      </c>
      <c r="G142" s="32">
        <v>95.7</v>
      </c>
      <c r="H142" s="33" t="s">
        <v>123</v>
      </c>
    </row>
    <row r="143" spans="1:8" ht="30">
      <c r="A143" s="54"/>
      <c r="B143" s="31" t="s">
        <v>125</v>
      </c>
      <c r="C143" s="41">
        <v>250</v>
      </c>
      <c r="D143" s="41">
        <f>1.58/2*2.5</f>
        <v>1.9750000000000001</v>
      </c>
      <c r="E143" s="41">
        <f>2.17/2*2.5</f>
        <v>2.7124999999999999</v>
      </c>
      <c r="F143" s="41">
        <f>9.69/2*2.5</f>
        <v>12.112499999999999</v>
      </c>
      <c r="G143" s="41">
        <f>68.6/2*2.5</f>
        <v>85.75</v>
      </c>
      <c r="H143" s="25" t="s">
        <v>65</v>
      </c>
    </row>
    <row r="144" spans="1:8" ht="45">
      <c r="A144" s="54"/>
      <c r="B144" s="23" t="s">
        <v>127</v>
      </c>
      <c r="C144" s="37">
        <v>110</v>
      </c>
      <c r="D144" s="37">
        <f>10.2*1.1</f>
        <v>11.22</v>
      </c>
      <c r="E144" s="37">
        <f>13.4*1.1</f>
        <v>14.740000000000002</v>
      </c>
      <c r="F144" s="37">
        <f>10.32*1.1</f>
        <v>11.352000000000002</v>
      </c>
      <c r="G144" s="37">
        <f>203.75*1.1</f>
        <v>224.12500000000003</v>
      </c>
      <c r="H144" s="36" t="s">
        <v>126</v>
      </c>
    </row>
    <row r="145" spans="1:8" ht="30">
      <c r="A145" s="54"/>
      <c r="B145" s="31" t="s">
        <v>68</v>
      </c>
      <c r="C145" s="32">
        <v>180</v>
      </c>
      <c r="D145" s="32">
        <f>5.52/15*18</f>
        <v>6.6239999999999997</v>
      </c>
      <c r="E145" s="32">
        <f>4.52/15*18</f>
        <v>5.4239999999999995</v>
      </c>
      <c r="F145" s="32">
        <f>26.45/15*18</f>
        <v>31.74</v>
      </c>
      <c r="G145" s="32">
        <f>168.45/15*18</f>
        <v>202.14</v>
      </c>
      <c r="H145" s="33" t="s">
        <v>69</v>
      </c>
    </row>
    <row r="146" spans="1:8">
      <c r="A146" s="54"/>
      <c r="B146" s="31" t="s">
        <v>99</v>
      </c>
      <c r="C146" s="32">
        <v>200</v>
      </c>
      <c r="D146" s="32">
        <v>1</v>
      </c>
      <c r="E146" s="32">
        <v>0</v>
      </c>
      <c r="F146" s="32">
        <v>22.2</v>
      </c>
      <c r="G146" s="32">
        <v>84.8</v>
      </c>
      <c r="H146" s="33" t="s">
        <v>35</v>
      </c>
    </row>
    <row r="147" spans="1:8">
      <c r="A147" s="54"/>
      <c r="B147" s="34" t="s">
        <v>18</v>
      </c>
      <c r="C147" s="35">
        <v>30</v>
      </c>
      <c r="D147" s="35">
        <v>2.2799999999999998</v>
      </c>
      <c r="E147" s="35">
        <v>0.24</v>
      </c>
      <c r="F147" s="35">
        <v>14.8</v>
      </c>
      <c r="G147" s="35">
        <v>70.5</v>
      </c>
      <c r="H147" s="23" t="s">
        <v>19</v>
      </c>
    </row>
    <row r="148" spans="1:8">
      <c r="A148" s="54"/>
      <c r="B148" s="34" t="s">
        <v>36</v>
      </c>
      <c r="C148" s="42">
        <v>30</v>
      </c>
      <c r="D148" s="43">
        <v>1.96</v>
      </c>
      <c r="E148" s="43">
        <f>0.44/40*30</f>
        <v>0.32999999999999996</v>
      </c>
      <c r="F148" s="43">
        <v>10.199999999999999</v>
      </c>
      <c r="G148" s="43">
        <v>69</v>
      </c>
      <c r="H148" s="23" t="s">
        <v>19</v>
      </c>
    </row>
    <row r="149" spans="1:8">
      <c r="A149" s="54"/>
      <c r="B149" s="21" t="s">
        <v>24</v>
      </c>
      <c r="C149" s="44">
        <f>SUM(C142:C148)</f>
        <v>900</v>
      </c>
      <c r="D149" s="44">
        <f t="shared" ref="D149:G149" si="13">SUM(D142:D148)</f>
        <v>26.629000000000001</v>
      </c>
      <c r="E149" s="44">
        <f t="shared" si="13"/>
        <v>29.4665</v>
      </c>
      <c r="F149" s="44">
        <f t="shared" si="13"/>
        <v>111.19450000000001</v>
      </c>
      <c r="G149" s="44">
        <f t="shared" si="13"/>
        <v>832.01499999999999</v>
      </c>
      <c r="H149" s="33"/>
    </row>
    <row r="150" spans="1:8">
      <c r="A150" s="54"/>
      <c r="B150" s="55" t="s">
        <v>128</v>
      </c>
      <c r="C150" s="11"/>
      <c r="D150" s="11"/>
      <c r="E150" s="11"/>
      <c r="F150" s="11"/>
      <c r="G150" s="11"/>
      <c r="H150" s="11"/>
    </row>
    <row r="151" spans="1:8">
      <c r="A151" s="54"/>
      <c r="B151" s="9" t="s">
        <v>13</v>
      </c>
      <c r="C151" s="10"/>
      <c r="D151" s="11"/>
      <c r="E151" s="11"/>
      <c r="F151" s="11"/>
      <c r="G151" s="11"/>
      <c r="H151" s="25"/>
    </row>
    <row r="152" spans="1:8" ht="45">
      <c r="A152" s="54"/>
      <c r="B152" s="31" t="s">
        <v>130</v>
      </c>
      <c r="C152" s="32">
        <v>210</v>
      </c>
      <c r="D152" s="32">
        <f>10.34/150*210</f>
        <v>14.475999999999999</v>
      </c>
      <c r="E152" s="32">
        <f>5.16/150*210</f>
        <v>7.2240000000000002</v>
      </c>
      <c r="F152" s="32">
        <f>29.29/150*210</f>
        <v>41.006</v>
      </c>
      <c r="G152" s="32">
        <f>277.5/150*210</f>
        <v>388.5</v>
      </c>
      <c r="H152" s="33" t="s">
        <v>129</v>
      </c>
    </row>
    <row r="153" spans="1:8" ht="30">
      <c r="A153" s="54"/>
      <c r="B153" s="31" t="s">
        <v>41</v>
      </c>
      <c r="C153" s="32">
        <v>200</v>
      </c>
      <c r="D153" s="32">
        <v>3.17</v>
      </c>
      <c r="E153" s="32">
        <v>2.68</v>
      </c>
      <c r="F153" s="32">
        <v>15.95</v>
      </c>
      <c r="G153" s="32">
        <v>100.6</v>
      </c>
      <c r="H153" s="33" t="s">
        <v>42</v>
      </c>
    </row>
    <row r="154" spans="1:8">
      <c r="A154" s="54"/>
      <c r="B154" s="34" t="s">
        <v>18</v>
      </c>
      <c r="C154" s="35">
        <v>30</v>
      </c>
      <c r="D154" s="35">
        <v>2.2799999999999998</v>
      </c>
      <c r="E154" s="35">
        <v>0.24</v>
      </c>
      <c r="F154" s="35">
        <v>14.8</v>
      </c>
      <c r="G154" s="35">
        <v>70.5</v>
      </c>
      <c r="H154" s="48" t="s">
        <v>19</v>
      </c>
    </row>
    <row r="155" spans="1:8">
      <c r="A155" s="54"/>
      <c r="B155" s="31" t="s">
        <v>40</v>
      </c>
      <c r="C155" s="53">
        <v>10</v>
      </c>
      <c r="D155" s="41">
        <v>0.1</v>
      </c>
      <c r="E155" s="41">
        <v>7.2</v>
      </c>
      <c r="F155" s="41">
        <v>0.13</v>
      </c>
      <c r="G155" s="41">
        <v>66</v>
      </c>
      <c r="H155" s="25" t="s">
        <v>20</v>
      </c>
    </row>
    <row r="156" spans="1:8">
      <c r="A156" s="54"/>
      <c r="B156" s="23" t="s">
        <v>89</v>
      </c>
      <c r="C156" s="37">
        <v>100</v>
      </c>
      <c r="D156" s="37">
        <v>0.4</v>
      </c>
      <c r="E156" s="37">
        <v>0.4</v>
      </c>
      <c r="F156" s="37">
        <v>9.8000000000000007</v>
      </c>
      <c r="G156" s="37">
        <v>47</v>
      </c>
      <c r="H156" s="11"/>
    </row>
    <row r="157" spans="1:8">
      <c r="A157" s="54"/>
      <c r="B157" s="17" t="s">
        <v>24</v>
      </c>
      <c r="C157" s="51">
        <f>C152+C153+C154+C155+C156</f>
        <v>550</v>
      </c>
      <c r="D157" s="51">
        <f t="shared" ref="D157:G157" si="14">D152+D153+D154+D155</f>
        <v>20.026000000000003</v>
      </c>
      <c r="E157" s="51">
        <f t="shared" si="14"/>
        <v>17.344000000000001</v>
      </c>
      <c r="F157" s="51">
        <f t="shared" si="14"/>
        <v>71.885999999999996</v>
      </c>
      <c r="G157" s="51">
        <f t="shared" si="14"/>
        <v>625.6</v>
      </c>
      <c r="H157" s="48"/>
    </row>
    <row r="158" spans="1:8">
      <c r="A158" s="54"/>
      <c r="B158" s="39" t="s">
        <v>25</v>
      </c>
      <c r="C158" s="40"/>
      <c r="D158" s="24"/>
      <c r="E158" s="24"/>
      <c r="F158" s="24"/>
      <c r="G158" s="24"/>
      <c r="H158" s="36"/>
    </row>
    <row r="159" spans="1:8">
      <c r="A159" s="54"/>
      <c r="B159" s="31" t="s">
        <v>131</v>
      </c>
      <c r="C159" s="32">
        <v>100</v>
      </c>
      <c r="D159" s="32">
        <f>1.1/60*100</f>
        <v>1.8333333333333333</v>
      </c>
      <c r="E159" s="32">
        <f>0.2/60*100</f>
        <v>0.33333333333333337</v>
      </c>
      <c r="F159" s="32">
        <f>3.8/60*100</f>
        <v>6.3333333333333321</v>
      </c>
      <c r="G159" s="32">
        <f>22/60*100</f>
        <v>36.666666666666664</v>
      </c>
      <c r="H159" s="33" t="s">
        <v>27</v>
      </c>
    </row>
    <row r="160" spans="1:8" ht="30">
      <c r="A160" s="54"/>
      <c r="B160" s="31" t="s">
        <v>46</v>
      </c>
      <c r="C160" s="32">
        <v>250</v>
      </c>
      <c r="D160" s="32">
        <f>1.86/2*2.5</f>
        <v>2.3250000000000002</v>
      </c>
      <c r="E160" s="32">
        <f>5.92/2*2.5</f>
        <v>7.4</v>
      </c>
      <c r="F160" s="32">
        <f>8.4/2*2.5</f>
        <v>10.5</v>
      </c>
      <c r="G160" s="32">
        <f>78.72/2*2.5</f>
        <v>98.4</v>
      </c>
      <c r="H160" s="33" t="s">
        <v>47</v>
      </c>
    </row>
    <row r="161" spans="1:10">
      <c r="A161" s="54"/>
      <c r="B161" s="31" t="s">
        <v>133</v>
      </c>
      <c r="C161" s="32">
        <v>280</v>
      </c>
      <c r="D161" s="32">
        <v>25.9</v>
      </c>
      <c r="E161" s="32">
        <v>29</v>
      </c>
      <c r="F161" s="32">
        <v>26.5</v>
      </c>
      <c r="G161" s="32">
        <v>472</v>
      </c>
      <c r="H161" s="33" t="s">
        <v>132</v>
      </c>
    </row>
    <row r="162" spans="1:10">
      <c r="A162" s="54"/>
      <c r="B162" s="31" t="s">
        <v>135</v>
      </c>
      <c r="C162" s="32">
        <v>200</v>
      </c>
      <c r="D162" s="32">
        <v>0.12</v>
      </c>
      <c r="E162" s="32">
        <v>0.08</v>
      </c>
      <c r="F162" s="32">
        <v>28.53</v>
      </c>
      <c r="G162" s="32">
        <v>101.5</v>
      </c>
      <c r="H162" s="33" t="s">
        <v>134</v>
      </c>
    </row>
    <row r="163" spans="1:10">
      <c r="A163" s="54"/>
      <c r="B163" s="34" t="s">
        <v>18</v>
      </c>
      <c r="C163" s="35">
        <v>30</v>
      </c>
      <c r="D163" s="35">
        <v>2.2799999999999998</v>
      </c>
      <c r="E163" s="35">
        <v>0.24</v>
      </c>
      <c r="F163" s="35">
        <v>14.8</v>
      </c>
      <c r="G163" s="35">
        <v>70.5</v>
      </c>
      <c r="H163" s="23" t="s">
        <v>19</v>
      </c>
    </row>
    <row r="164" spans="1:10">
      <c r="A164" s="54"/>
      <c r="B164" s="34" t="s">
        <v>36</v>
      </c>
      <c r="C164" s="42">
        <v>30</v>
      </c>
      <c r="D164" s="43">
        <v>1.96</v>
      </c>
      <c r="E164" s="43">
        <f>0.44/40*30</f>
        <v>0.32999999999999996</v>
      </c>
      <c r="F164" s="43">
        <v>10.199999999999999</v>
      </c>
      <c r="G164" s="43">
        <v>69</v>
      </c>
      <c r="H164" s="23" t="s">
        <v>19</v>
      </c>
    </row>
    <row r="165" spans="1:10">
      <c r="A165" s="33"/>
      <c r="B165" s="21" t="s">
        <v>24</v>
      </c>
      <c r="C165" s="44">
        <f>C159+C160+C161+C163+C164+C162</f>
        <v>890</v>
      </c>
      <c r="D165" s="44">
        <f t="shared" ref="D165:G165" si="15">D159+D160+D161+D163+D164+D162</f>
        <v>34.418333333333329</v>
      </c>
      <c r="E165" s="44">
        <f t="shared" si="15"/>
        <v>37.383333333333333</v>
      </c>
      <c r="F165" s="44">
        <f t="shared" si="15"/>
        <v>96.86333333333333</v>
      </c>
      <c r="G165" s="44">
        <f t="shared" si="15"/>
        <v>848.06666666666661</v>
      </c>
      <c r="H165" s="11"/>
    </row>
    <row r="166" spans="1:10">
      <c r="A166" s="54"/>
      <c r="B166" s="45" t="s">
        <v>136</v>
      </c>
      <c r="C166" s="11"/>
      <c r="D166" s="11"/>
      <c r="E166" s="11"/>
      <c r="F166" s="11"/>
      <c r="G166" s="11"/>
      <c r="H166" s="11"/>
    </row>
    <row r="167" spans="1:10">
      <c r="A167" s="25"/>
      <c r="B167" s="26" t="s">
        <v>13</v>
      </c>
      <c r="C167" s="10"/>
      <c r="D167" s="11"/>
      <c r="E167" s="11"/>
      <c r="F167" s="11"/>
      <c r="G167" s="11"/>
      <c r="H167" s="11"/>
    </row>
    <row r="168" spans="1:10" ht="30">
      <c r="A168" s="54"/>
      <c r="B168" s="31" t="s">
        <v>30</v>
      </c>
      <c r="C168" s="41">
        <v>100</v>
      </c>
      <c r="D168" s="41">
        <f>5.76/70*100</f>
        <v>8.2285714285714278</v>
      </c>
      <c r="E168" s="41">
        <f>6.8/70*100</f>
        <v>9.7142857142857135</v>
      </c>
      <c r="F168" s="41">
        <f>7.53/70*100</f>
        <v>10.757142857142858</v>
      </c>
      <c r="G168" s="41">
        <f>169.75/70*100</f>
        <v>242.49999999999997</v>
      </c>
      <c r="H168" s="25" t="s">
        <v>31</v>
      </c>
      <c r="J168">
        <f>2720*0.2</f>
        <v>544</v>
      </c>
    </row>
    <row r="169" spans="1:10">
      <c r="A169" s="54"/>
      <c r="B169" s="31" t="s">
        <v>145</v>
      </c>
      <c r="C169" s="41">
        <v>150</v>
      </c>
      <c r="D169" s="41">
        <f>5.52</f>
        <v>5.52</v>
      </c>
      <c r="E169" s="41">
        <f>2.52/150*15</f>
        <v>0.252</v>
      </c>
      <c r="F169" s="41">
        <f>26.45/150*150</f>
        <v>26.450000000000003</v>
      </c>
      <c r="G169" s="41">
        <f>168.45/150*180</f>
        <v>202.14</v>
      </c>
      <c r="H169" s="25" t="s">
        <v>69</v>
      </c>
      <c r="J169">
        <f>2720*0.35</f>
        <v>951.99999999999989</v>
      </c>
    </row>
    <row r="170" spans="1:10">
      <c r="A170" s="54"/>
      <c r="B170" s="31" t="s">
        <v>137</v>
      </c>
      <c r="C170" s="41">
        <v>200</v>
      </c>
      <c r="D170" s="41">
        <v>0.13</v>
      </c>
      <c r="E170" s="41">
        <v>0.02</v>
      </c>
      <c r="F170" s="41">
        <v>0.76</v>
      </c>
      <c r="G170" s="41">
        <v>24.17</v>
      </c>
      <c r="H170" s="25" t="s">
        <v>59</v>
      </c>
    </row>
    <row r="171" spans="1:10">
      <c r="A171" s="54"/>
      <c r="B171" s="34" t="s">
        <v>18</v>
      </c>
      <c r="C171" s="35">
        <v>30</v>
      </c>
      <c r="D171" s="35">
        <v>2.2799999999999998</v>
      </c>
      <c r="E171" s="35">
        <v>0.24</v>
      </c>
      <c r="F171" s="35">
        <v>14.8</v>
      </c>
      <c r="G171" s="35">
        <v>70.5</v>
      </c>
      <c r="H171" s="48" t="s">
        <v>19</v>
      </c>
    </row>
    <row r="172" spans="1:10">
      <c r="A172" s="54"/>
      <c r="B172" s="31" t="s">
        <v>40</v>
      </c>
      <c r="C172" s="53">
        <v>10</v>
      </c>
      <c r="D172" s="41">
        <v>0.1</v>
      </c>
      <c r="E172" s="41">
        <v>7.2</v>
      </c>
      <c r="F172" s="41">
        <v>0.13</v>
      </c>
      <c r="G172" s="41">
        <v>66</v>
      </c>
      <c r="H172" s="25" t="s">
        <v>20</v>
      </c>
    </row>
    <row r="173" spans="1:10">
      <c r="A173" s="54"/>
      <c r="B173" s="31" t="s">
        <v>61</v>
      </c>
      <c r="C173" s="53">
        <v>60</v>
      </c>
      <c r="D173" s="42">
        <v>60</v>
      </c>
      <c r="E173" s="37">
        <v>6.72</v>
      </c>
      <c r="F173" s="37">
        <v>7.54</v>
      </c>
      <c r="G173" s="37">
        <v>71.58</v>
      </c>
      <c r="H173" s="37"/>
    </row>
    <row r="174" spans="1:10">
      <c r="A174" s="54"/>
      <c r="B174" s="17" t="s">
        <v>24</v>
      </c>
      <c r="C174" s="51">
        <f>C169+C170+C168+C171+C172+C173</f>
        <v>550</v>
      </c>
      <c r="D174" s="51">
        <f t="shared" ref="C174:G174" si="16">D168+D169+D170+D171+D172</f>
        <v>16.258571428571429</v>
      </c>
      <c r="E174" s="51">
        <f t="shared" si="16"/>
        <v>17.426285714285715</v>
      </c>
      <c r="F174" s="51">
        <f t="shared" si="16"/>
        <v>52.89714285714286</v>
      </c>
      <c r="G174" s="51">
        <f t="shared" si="16"/>
        <v>605.30999999999995</v>
      </c>
      <c r="H174" s="48"/>
    </row>
    <row r="175" spans="1:10">
      <c r="A175" s="54"/>
      <c r="B175" s="39" t="s">
        <v>25</v>
      </c>
      <c r="C175" s="59"/>
      <c r="D175" s="17"/>
      <c r="E175" s="17"/>
      <c r="F175" s="17"/>
      <c r="G175" s="17"/>
      <c r="H175" s="48"/>
    </row>
    <row r="176" spans="1:10" ht="30">
      <c r="A176" s="54"/>
      <c r="B176" s="31" t="s">
        <v>90</v>
      </c>
      <c r="C176" s="41">
        <v>100</v>
      </c>
      <c r="D176" s="41">
        <f>0.61/6*10</f>
        <v>1.0166666666666666</v>
      </c>
      <c r="E176" s="41">
        <f>0.1/6*10</f>
        <v>0.16666666666666666</v>
      </c>
      <c r="F176" s="41">
        <f>3.85/6*10</f>
        <v>6.416666666666667</v>
      </c>
      <c r="G176" s="41">
        <f>78.07/6*10</f>
        <v>130.11666666666665</v>
      </c>
      <c r="H176" s="25" t="s">
        <v>91</v>
      </c>
    </row>
    <row r="177" spans="1:8">
      <c r="A177" s="54"/>
      <c r="B177" s="31" t="s">
        <v>259</v>
      </c>
      <c r="C177" s="41">
        <v>250</v>
      </c>
      <c r="D177" s="41">
        <f>5.76/2*2.5</f>
        <v>7.1999999999999993</v>
      </c>
      <c r="E177" s="41">
        <f>6.62/2*2.5</f>
        <v>8.2750000000000004</v>
      </c>
      <c r="F177" s="41">
        <f>10.5/2*2.5</f>
        <v>13.125</v>
      </c>
      <c r="G177" s="41">
        <f>118.72/2*2.5</f>
        <v>148.4</v>
      </c>
      <c r="H177" s="25" t="s">
        <v>138</v>
      </c>
    </row>
    <row r="178" spans="1:8" ht="50.25" customHeight="1">
      <c r="A178" s="54"/>
      <c r="B178" s="31" t="s">
        <v>140</v>
      </c>
      <c r="C178" s="60">
        <v>100</v>
      </c>
      <c r="D178" s="60">
        <f>7.14/8*10</f>
        <v>8.9249999999999989</v>
      </c>
      <c r="E178" s="60">
        <f>10.11/8*10</f>
        <v>12.637499999999999</v>
      </c>
      <c r="F178" s="60">
        <f>7.78/8*10</f>
        <v>9.7249999999999996</v>
      </c>
      <c r="G178" s="60">
        <f>129.8/8*10</f>
        <v>162.25</v>
      </c>
      <c r="H178" s="25" t="s">
        <v>139</v>
      </c>
    </row>
    <row r="179" spans="1:8" ht="20.25" customHeight="1">
      <c r="A179" s="54"/>
      <c r="B179" s="31" t="s">
        <v>142</v>
      </c>
      <c r="C179" s="41">
        <v>180</v>
      </c>
      <c r="D179" s="41">
        <f>7.6/150*180</f>
        <v>9.1199999999999992</v>
      </c>
      <c r="E179" s="41">
        <f>4.1/150*180</f>
        <v>4.92</v>
      </c>
      <c r="F179" s="41">
        <f>37.64/150*180</f>
        <v>45.167999999999999</v>
      </c>
      <c r="G179" s="41">
        <f>231.86/150*180</f>
        <v>278.23200000000003</v>
      </c>
      <c r="H179" s="25" t="s">
        <v>141</v>
      </c>
    </row>
    <row r="180" spans="1:8" ht="30">
      <c r="A180" s="54"/>
      <c r="B180" s="31" t="s">
        <v>70</v>
      </c>
      <c r="C180" s="41">
        <v>200</v>
      </c>
      <c r="D180" s="41">
        <v>0.4</v>
      </c>
      <c r="E180" s="41">
        <v>0.27</v>
      </c>
      <c r="F180" s="41">
        <v>17.2</v>
      </c>
      <c r="G180" s="41">
        <v>72.8</v>
      </c>
      <c r="H180" s="25" t="s">
        <v>71</v>
      </c>
    </row>
    <row r="181" spans="1:8">
      <c r="A181" s="54"/>
      <c r="B181" s="34" t="s">
        <v>18</v>
      </c>
      <c r="C181" s="35">
        <v>30</v>
      </c>
      <c r="D181" s="35">
        <v>2.2799999999999998</v>
      </c>
      <c r="E181" s="35">
        <v>0.24</v>
      </c>
      <c r="F181" s="35">
        <v>14.8</v>
      </c>
      <c r="G181" s="35">
        <v>70.5</v>
      </c>
      <c r="H181" s="23" t="s">
        <v>19</v>
      </c>
    </row>
    <row r="182" spans="1:8">
      <c r="A182" s="54"/>
      <c r="B182" s="34" t="s">
        <v>36</v>
      </c>
      <c r="C182" s="42">
        <v>30</v>
      </c>
      <c r="D182" s="43">
        <v>1.96</v>
      </c>
      <c r="E182" s="43">
        <f>0.44/40*30</f>
        <v>0.32999999999999996</v>
      </c>
      <c r="F182" s="43">
        <v>10.199999999999999</v>
      </c>
      <c r="G182" s="43">
        <v>69</v>
      </c>
      <c r="H182" s="23" t="s">
        <v>19</v>
      </c>
    </row>
    <row r="183" spans="1:8">
      <c r="A183" s="25"/>
      <c r="B183" s="28" t="s">
        <v>24</v>
      </c>
      <c r="C183" s="61">
        <f>C176+C177+C178+C179+C180+C181+C182</f>
        <v>890</v>
      </c>
      <c r="D183" s="61">
        <f t="shared" ref="D183:G183" si="17">D176+D177+D178+D179+D180+D181+D182</f>
        <v>30.901666666666664</v>
      </c>
      <c r="E183" s="61">
        <f t="shared" si="17"/>
        <v>26.839166666666664</v>
      </c>
      <c r="F183" s="61">
        <f t="shared" si="17"/>
        <v>116.63466666666666</v>
      </c>
      <c r="G183" s="61">
        <f t="shared" si="17"/>
        <v>931.29866666666658</v>
      </c>
      <c r="H183" s="11"/>
    </row>
    <row r="184" spans="1:8" ht="15.75">
      <c r="B184" s="8"/>
      <c r="C184" s="8"/>
      <c r="D184" s="8"/>
      <c r="E184" s="8"/>
      <c r="F184" s="8"/>
      <c r="G184" s="8"/>
      <c r="H184" s="8"/>
    </row>
  </sheetData>
  <mergeCells count="14">
    <mergeCell ref="E4:H4"/>
    <mergeCell ref="A28:B28"/>
    <mergeCell ref="A46:B46"/>
    <mergeCell ref="A64:B64"/>
    <mergeCell ref="A80:B80"/>
    <mergeCell ref="A8:B8"/>
    <mergeCell ref="A9:A10"/>
    <mergeCell ref="A5:H5"/>
    <mergeCell ref="A6:H6"/>
    <mergeCell ref="B9:B10"/>
    <mergeCell ref="C9:C10"/>
    <mergeCell ref="D9:F9"/>
    <mergeCell ref="G9:G10"/>
    <mergeCell ref="H9:H10"/>
  </mergeCells>
  <pageMargins left="0.9055118110236221" right="0.70866141732283472" top="0.55118110236220474" bottom="0.74803149606299213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1"/>
  <sheetViews>
    <sheetView topLeftCell="A78" workbookViewId="0">
      <selection sqref="A1:D111"/>
    </sheetView>
  </sheetViews>
  <sheetFormatPr defaultRowHeight="15"/>
  <cols>
    <col min="2" max="2" width="50.140625" customWidth="1"/>
    <col min="3" max="3" width="17.5703125" customWidth="1"/>
  </cols>
  <sheetData>
    <row r="1" spans="1:8">
      <c r="A1" s="29"/>
      <c r="B1" s="29"/>
      <c r="C1" s="87" t="s">
        <v>253</v>
      </c>
      <c r="D1" s="87"/>
      <c r="E1" s="1"/>
      <c r="F1" s="1"/>
      <c r="G1" s="1"/>
      <c r="H1" s="1"/>
    </row>
    <row r="2" spans="1:8">
      <c r="A2" s="29"/>
      <c r="B2" s="88" t="s">
        <v>1</v>
      </c>
      <c r="C2" s="88"/>
      <c r="D2" s="88"/>
      <c r="E2" s="1"/>
      <c r="F2" s="1"/>
      <c r="G2" s="1"/>
      <c r="H2" s="1"/>
    </row>
    <row r="3" spans="1:8">
      <c r="A3" s="69"/>
      <c r="B3" s="69"/>
      <c r="C3" s="88" t="s">
        <v>255</v>
      </c>
      <c r="D3" s="88"/>
      <c r="E3" s="1" t="s">
        <v>254</v>
      </c>
      <c r="F3" s="1"/>
      <c r="G3" s="1"/>
      <c r="H3" s="1"/>
    </row>
    <row r="4" spans="1:8">
      <c r="A4" s="29"/>
      <c r="B4" s="29"/>
      <c r="C4" s="89" t="s">
        <v>146</v>
      </c>
      <c r="D4" s="89"/>
      <c r="E4" s="76"/>
      <c r="F4" s="76"/>
      <c r="G4" s="76"/>
      <c r="H4" s="76"/>
    </row>
    <row r="5" spans="1:8" ht="15.75">
      <c r="A5" s="68"/>
      <c r="B5" s="68" t="s">
        <v>147</v>
      </c>
      <c r="C5" s="68"/>
      <c r="D5" s="68"/>
      <c r="E5" s="68"/>
      <c r="F5" s="68"/>
      <c r="G5" s="68"/>
      <c r="H5" s="68"/>
    </row>
    <row r="6" spans="1:8" ht="15.75">
      <c r="A6" s="86" t="s">
        <v>148</v>
      </c>
      <c r="B6" s="86"/>
      <c r="C6" s="86"/>
      <c r="D6" s="86"/>
      <c r="E6" s="68"/>
      <c r="F6" s="68"/>
      <c r="G6" s="68"/>
      <c r="H6" s="68"/>
    </row>
    <row r="7" spans="1:8">
      <c r="C7" s="3"/>
    </row>
    <row r="10" spans="1:8" ht="15.75">
      <c r="B10" s="4" t="s">
        <v>66</v>
      </c>
      <c r="C10" s="62" t="s">
        <v>67</v>
      </c>
    </row>
    <row r="11" spans="1:8" ht="15.75">
      <c r="B11" s="4" t="s">
        <v>202</v>
      </c>
      <c r="C11" s="62" t="s">
        <v>149</v>
      </c>
    </row>
    <row r="12" spans="1:8" ht="15.75">
      <c r="B12" s="4" t="s">
        <v>46</v>
      </c>
      <c r="C12" s="63" t="s">
        <v>47</v>
      </c>
    </row>
    <row r="13" spans="1:8" ht="15.75">
      <c r="B13" s="6" t="s">
        <v>230</v>
      </c>
      <c r="C13" s="64" t="s">
        <v>231</v>
      </c>
    </row>
    <row r="14" spans="1:8" ht="15.75">
      <c r="B14" s="6" t="s">
        <v>169</v>
      </c>
      <c r="C14" s="64" t="s">
        <v>170</v>
      </c>
    </row>
    <row r="15" spans="1:8" ht="15.75">
      <c r="B15" s="4" t="s">
        <v>133</v>
      </c>
      <c r="C15" s="63" t="s">
        <v>132</v>
      </c>
    </row>
    <row r="16" spans="1:8" ht="15.75">
      <c r="B16" s="4" t="s">
        <v>154</v>
      </c>
      <c r="C16" s="63" t="s">
        <v>153</v>
      </c>
    </row>
    <row r="17" spans="2:3" ht="15.75">
      <c r="B17" s="7" t="s">
        <v>156</v>
      </c>
      <c r="C17" s="64" t="s">
        <v>155</v>
      </c>
    </row>
    <row r="18" spans="2:3" ht="15.75">
      <c r="B18" s="6" t="s">
        <v>179</v>
      </c>
      <c r="C18" s="67" t="s">
        <v>180</v>
      </c>
    </row>
    <row r="19" spans="2:3" ht="15.75">
      <c r="B19" s="4" t="s">
        <v>75</v>
      </c>
      <c r="C19" s="63" t="s">
        <v>76</v>
      </c>
    </row>
    <row r="20" spans="2:3" ht="15.75">
      <c r="B20" s="7" t="s">
        <v>51</v>
      </c>
      <c r="C20" s="64" t="s">
        <v>52</v>
      </c>
    </row>
    <row r="21" spans="2:3" ht="15.75">
      <c r="B21" s="4" t="s">
        <v>14</v>
      </c>
      <c r="C21" s="63" t="s">
        <v>15</v>
      </c>
    </row>
    <row r="22" spans="2:3" ht="15.75">
      <c r="B22" s="4" t="s">
        <v>142</v>
      </c>
      <c r="C22" s="62" t="s">
        <v>141</v>
      </c>
    </row>
    <row r="23" spans="2:3" ht="15.75">
      <c r="B23" s="4" t="s">
        <v>204</v>
      </c>
      <c r="C23" s="63" t="s">
        <v>102</v>
      </c>
    </row>
    <row r="24" spans="2:3" ht="15.75">
      <c r="B24" s="4" t="s">
        <v>121</v>
      </c>
      <c r="C24" s="63" t="s">
        <v>102</v>
      </c>
    </row>
    <row r="25" spans="2:3" ht="15.75">
      <c r="B25" s="4" t="s">
        <v>103</v>
      </c>
      <c r="C25" s="63" t="s">
        <v>102</v>
      </c>
    </row>
    <row r="26" spans="2:3" ht="15.75">
      <c r="B26" s="4" t="s">
        <v>135</v>
      </c>
      <c r="C26" s="63" t="s">
        <v>134</v>
      </c>
    </row>
    <row r="27" spans="2:3" ht="15.75">
      <c r="B27" s="4" t="s">
        <v>216</v>
      </c>
      <c r="C27" s="63" t="s">
        <v>96</v>
      </c>
    </row>
    <row r="28" spans="2:3" ht="15.75">
      <c r="B28" s="4" t="s">
        <v>95</v>
      </c>
      <c r="C28" s="63" t="s">
        <v>96</v>
      </c>
    </row>
    <row r="29" spans="2:3" ht="15.75">
      <c r="B29" s="6" t="s">
        <v>228</v>
      </c>
      <c r="C29" s="64" t="s">
        <v>229</v>
      </c>
    </row>
    <row r="30" spans="2:3" ht="15.75">
      <c r="B30" s="4" t="s">
        <v>70</v>
      </c>
      <c r="C30" s="62" t="s">
        <v>71</v>
      </c>
    </row>
    <row r="31" spans="2:3" ht="15.75">
      <c r="B31" s="4" t="s">
        <v>84</v>
      </c>
      <c r="C31" s="63" t="s">
        <v>85</v>
      </c>
    </row>
    <row r="32" spans="2:3" ht="15.75">
      <c r="B32" s="4" t="s">
        <v>215</v>
      </c>
      <c r="C32" s="63" t="s">
        <v>54</v>
      </c>
    </row>
    <row r="33" spans="2:3" ht="15.75">
      <c r="B33" s="6" t="s">
        <v>185</v>
      </c>
      <c r="C33" s="64" t="s">
        <v>188</v>
      </c>
    </row>
    <row r="34" spans="2:3" ht="15.75">
      <c r="B34" s="7" t="s">
        <v>250</v>
      </c>
      <c r="C34" s="64" t="s">
        <v>249</v>
      </c>
    </row>
    <row r="35" spans="2:3" ht="15.75">
      <c r="B35" s="4" t="s">
        <v>159</v>
      </c>
      <c r="C35" s="62" t="s">
        <v>158</v>
      </c>
    </row>
    <row r="36" spans="2:3" ht="15.75">
      <c r="B36" s="4" t="s">
        <v>41</v>
      </c>
      <c r="C36" s="63" t="s">
        <v>42</v>
      </c>
    </row>
    <row r="37" spans="2:3" ht="15.75">
      <c r="B37" s="4" t="s">
        <v>68</v>
      </c>
      <c r="C37" s="63" t="s">
        <v>69</v>
      </c>
    </row>
    <row r="38" spans="2:3" ht="15.75">
      <c r="B38" s="7" t="s">
        <v>87</v>
      </c>
      <c r="C38" s="64" t="s">
        <v>88</v>
      </c>
    </row>
    <row r="39" spans="2:3" ht="15.75">
      <c r="B39" s="4" t="s">
        <v>60</v>
      </c>
      <c r="C39" s="63" t="s">
        <v>20</v>
      </c>
    </row>
    <row r="40" spans="2:3" ht="15.75">
      <c r="B40" s="6" t="s">
        <v>186</v>
      </c>
      <c r="C40" s="64" t="s">
        <v>189</v>
      </c>
    </row>
    <row r="41" spans="2:3" ht="15.75">
      <c r="B41" s="4" t="s">
        <v>105</v>
      </c>
      <c r="C41" s="63" t="s">
        <v>27</v>
      </c>
    </row>
    <row r="42" spans="2:3" ht="15.75">
      <c r="B42" s="65" t="s">
        <v>26</v>
      </c>
      <c r="C42" s="65" t="s">
        <v>27</v>
      </c>
    </row>
    <row r="43" spans="2:3" ht="15.75">
      <c r="B43" s="6" t="s">
        <v>219</v>
      </c>
      <c r="C43" s="64" t="s">
        <v>220</v>
      </c>
    </row>
    <row r="44" spans="2:3" ht="15.75">
      <c r="B44" s="6" t="s">
        <v>221</v>
      </c>
      <c r="C44" s="64" t="s">
        <v>222</v>
      </c>
    </row>
    <row r="45" spans="2:3" ht="15.75">
      <c r="B45" s="4" t="s">
        <v>252</v>
      </c>
      <c r="C45" s="63" t="s">
        <v>251</v>
      </c>
    </row>
    <row r="46" spans="2:3" ht="15.75">
      <c r="B46" s="7" t="s">
        <v>199</v>
      </c>
      <c r="C46" s="64" t="s">
        <v>94</v>
      </c>
    </row>
    <row r="47" spans="2:3" ht="15.75">
      <c r="B47" s="6" t="s">
        <v>226</v>
      </c>
      <c r="C47" s="64" t="s">
        <v>227</v>
      </c>
    </row>
    <row r="48" spans="2:3" ht="15.75">
      <c r="B48" s="6" t="s">
        <v>244</v>
      </c>
      <c r="C48" s="67" t="s">
        <v>245</v>
      </c>
    </row>
    <row r="49" spans="2:3" ht="15.75">
      <c r="B49" s="6" t="s">
        <v>242</v>
      </c>
      <c r="C49" s="64" t="s">
        <v>243</v>
      </c>
    </row>
    <row r="50" spans="2:3" ht="15.75">
      <c r="B50" s="6" t="s">
        <v>248</v>
      </c>
      <c r="C50" s="64" t="s">
        <v>223</v>
      </c>
    </row>
    <row r="51" spans="2:3" ht="15.75">
      <c r="B51" s="7" t="s">
        <v>82</v>
      </c>
      <c r="C51" s="64" t="s">
        <v>83</v>
      </c>
    </row>
    <row r="52" spans="2:3" ht="15.75">
      <c r="B52" s="6" t="s">
        <v>211</v>
      </c>
      <c r="C52" s="64" t="s">
        <v>201</v>
      </c>
    </row>
    <row r="53" spans="2:3" ht="15.75">
      <c r="B53" s="4" t="s">
        <v>131</v>
      </c>
      <c r="C53" s="63" t="s">
        <v>27</v>
      </c>
    </row>
    <row r="54" spans="2:3" ht="31.5">
      <c r="B54" s="4" t="s">
        <v>130</v>
      </c>
      <c r="C54" s="63" t="s">
        <v>129</v>
      </c>
    </row>
    <row r="55" spans="2:3" ht="15.75">
      <c r="B55" s="4" t="s">
        <v>56</v>
      </c>
      <c r="C55" s="62" t="s">
        <v>57</v>
      </c>
    </row>
    <row r="56" spans="2:3" ht="15.75">
      <c r="B56" s="7" t="s">
        <v>203</v>
      </c>
      <c r="C56" s="6" t="s">
        <v>33</v>
      </c>
    </row>
    <row r="57" spans="2:3" ht="15.75">
      <c r="B57" s="6" t="s">
        <v>200</v>
      </c>
      <c r="C57" s="64" t="s">
        <v>201</v>
      </c>
    </row>
    <row r="58" spans="2:3" ht="15.75">
      <c r="B58" s="5" t="s">
        <v>117</v>
      </c>
      <c r="C58" s="63" t="s">
        <v>116</v>
      </c>
    </row>
    <row r="59" spans="2:3" ht="15.75">
      <c r="B59" s="4" t="s">
        <v>110</v>
      </c>
      <c r="C59" s="63" t="s">
        <v>109</v>
      </c>
    </row>
    <row r="60" spans="2:3" ht="15.75">
      <c r="B60" s="7" t="s">
        <v>119</v>
      </c>
      <c r="C60" s="64" t="s">
        <v>118</v>
      </c>
    </row>
    <row r="61" spans="2:3" ht="15.75">
      <c r="B61" s="7" t="s">
        <v>49</v>
      </c>
      <c r="C61" s="66" t="s">
        <v>50</v>
      </c>
    </row>
    <row r="62" spans="2:3" ht="15.75">
      <c r="B62" s="4" t="s">
        <v>124</v>
      </c>
      <c r="C62" s="63" t="s">
        <v>123</v>
      </c>
    </row>
    <row r="63" spans="2:3" ht="15.75">
      <c r="B63" s="6" t="s">
        <v>192</v>
      </c>
      <c r="C63" s="64" t="s">
        <v>193</v>
      </c>
    </row>
    <row r="64" spans="2:3" ht="15.75">
      <c r="B64" s="6" t="s">
        <v>175</v>
      </c>
      <c r="C64" s="64" t="s">
        <v>176</v>
      </c>
    </row>
    <row r="65" spans="2:3" ht="15.75">
      <c r="B65" s="6" t="s">
        <v>173</v>
      </c>
      <c r="C65" s="64" t="s">
        <v>174</v>
      </c>
    </row>
    <row r="66" spans="2:3" ht="15.75">
      <c r="B66" s="6" t="s">
        <v>172</v>
      </c>
      <c r="C66" s="64" t="s">
        <v>171</v>
      </c>
    </row>
    <row r="67" spans="2:3" ht="15.75">
      <c r="B67" s="4" t="s">
        <v>166</v>
      </c>
      <c r="C67" s="63" t="s">
        <v>167</v>
      </c>
    </row>
    <row r="68" spans="2:3" ht="15.75">
      <c r="B68" s="4" t="s">
        <v>90</v>
      </c>
      <c r="C68" s="62" t="s">
        <v>91</v>
      </c>
    </row>
    <row r="69" spans="2:3" ht="15.75">
      <c r="B69" s="6" t="s">
        <v>62</v>
      </c>
      <c r="C69" s="66" t="s">
        <v>63</v>
      </c>
    </row>
    <row r="70" spans="2:3" ht="15.75">
      <c r="B70" s="65" t="s">
        <v>115</v>
      </c>
      <c r="C70" s="63" t="s">
        <v>184</v>
      </c>
    </row>
    <row r="71" spans="2:3" ht="17.25" customHeight="1">
      <c r="B71" s="6" t="s">
        <v>161</v>
      </c>
      <c r="C71" s="64" t="s">
        <v>190</v>
      </c>
    </row>
    <row r="72" spans="2:3" ht="15.75">
      <c r="B72" s="6" t="s">
        <v>183</v>
      </c>
      <c r="C72" s="64" t="s">
        <v>20</v>
      </c>
    </row>
    <row r="73" spans="2:3" ht="15.75">
      <c r="B73" s="6" t="s">
        <v>78</v>
      </c>
      <c r="C73" s="64" t="s">
        <v>168</v>
      </c>
    </row>
    <row r="74" spans="2:3" ht="15.75">
      <c r="B74" s="6" t="s">
        <v>78</v>
      </c>
      <c r="C74" s="64" t="s">
        <v>79</v>
      </c>
    </row>
    <row r="75" spans="2:3" ht="15.75">
      <c r="B75" s="6" t="s">
        <v>177</v>
      </c>
      <c r="C75" s="64" t="s">
        <v>178</v>
      </c>
    </row>
    <row r="76" spans="2:3" ht="15.75">
      <c r="B76" s="6" t="s">
        <v>181</v>
      </c>
      <c r="C76" s="67" t="s">
        <v>182</v>
      </c>
    </row>
    <row r="77" spans="2:3" ht="15.75">
      <c r="B77" s="6" t="s">
        <v>187</v>
      </c>
      <c r="C77" s="64" t="s">
        <v>191</v>
      </c>
    </row>
    <row r="78" spans="2:3" ht="15.75">
      <c r="B78" s="65" t="s">
        <v>34</v>
      </c>
      <c r="C78" s="63" t="s">
        <v>35</v>
      </c>
    </row>
    <row r="79" spans="2:3" ht="15.75">
      <c r="B79" s="4" t="s">
        <v>209</v>
      </c>
      <c r="C79" s="62" t="s">
        <v>210</v>
      </c>
    </row>
    <row r="80" spans="2:3" ht="15.75">
      <c r="B80" s="4" t="s">
        <v>164</v>
      </c>
      <c r="C80" s="62" t="s">
        <v>160</v>
      </c>
    </row>
    <row r="81" spans="2:3" ht="15.75">
      <c r="B81" s="4" t="s">
        <v>206</v>
      </c>
      <c r="C81" s="62" t="s">
        <v>205</v>
      </c>
    </row>
    <row r="82" spans="2:3" ht="15.75">
      <c r="B82" s="4" t="s">
        <v>207</v>
      </c>
      <c r="C82" s="62" t="s">
        <v>208</v>
      </c>
    </row>
    <row r="83" spans="2:3" ht="15.75">
      <c r="B83" s="4" t="s">
        <v>246</v>
      </c>
      <c r="C83" s="63" t="s">
        <v>152</v>
      </c>
    </row>
    <row r="84" spans="2:3" ht="15.75">
      <c r="B84" s="65" t="s">
        <v>151</v>
      </c>
      <c r="C84" s="65" t="s">
        <v>150</v>
      </c>
    </row>
    <row r="85" spans="2:3" ht="15.75">
      <c r="B85" s="4" t="s">
        <v>162</v>
      </c>
      <c r="C85" s="63" t="s">
        <v>150</v>
      </c>
    </row>
    <row r="86" spans="2:3" ht="15.75">
      <c r="B86" s="65" t="s">
        <v>162</v>
      </c>
      <c r="C86" s="63" t="s">
        <v>150</v>
      </c>
    </row>
    <row r="87" spans="2:3" ht="15.75">
      <c r="B87" s="7" t="s">
        <v>165</v>
      </c>
      <c r="C87" s="64" t="s">
        <v>157</v>
      </c>
    </row>
    <row r="88" spans="2:3" ht="15.75">
      <c r="B88" s="65" t="s">
        <v>196</v>
      </c>
      <c r="C88" s="63" t="s">
        <v>106</v>
      </c>
    </row>
    <row r="89" spans="2:3" ht="15.75">
      <c r="B89" s="6" t="s">
        <v>197</v>
      </c>
      <c r="C89" s="64" t="s">
        <v>93</v>
      </c>
    </row>
    <row r="90" spans="2:3" ht="15.75">
      <c r="B90" s="65" t="s">
        <v>195</v>
      </c>
      <c r="C90" s="62" t="s">
        <v>138</v>
      </c>
    </row>
    <row r="91" spans="2:3" ht="15.75">
      <c r="B91" s="65" t="s">
        <v>198</v>
      </c>
      <c r="C91" s="65" t="s">
        <v>29</v>
      </c>
    </row>
    <row r="92" spans="2:3" ht="15.75">
      <c r="B92" s="65" t="s">
        <v>125</v>
      </c>
      <c r="C92" s="62" t="s">
        <v>65</v>
      </c>
    </row>
    <row r="93" spans="2:3" ht="15.75">
      <c r="B93" s="6" t="s">
        <v>64</v>
      </c>
      <c r="C93" s="66" t="s">
        <v>65</v>
      </c>
    </row>
    <row r="94" spans="2:3" ht="15.75">
      <c r="B94" s="65" t="s">
        <v>21</v>
      </c>
      <c r="C94" s="63" t="s">
        <v>22</v>
      </c>
    </row>
    <row r="95" spans="2:3" ht="15.75">
      <c r="B95" s="6" t="s">
        <v>217</v>
      </c>
      <c r="C95" s="64" t="s">
        <v>218</v>
      </c>
    </row>
    <row r="96" spans="2:3" ht="15.75">
      <c r="B96" s="6" t="s">
        <v>225</v>
      </c>
      <c r="C96" s="64" t="s">
        <v>224</v>
      </c>
    </row>
    <row r="97" spans="2:3" ht="15.75">
      <c r="B97" s="65" t="s">
        <v>247</v>
      </c>
      <c r="C97" s="64" t="s">
        <v>108</v>
      </c>
    </row>
    <row r="98" spans="2:3" ht="15.75">
      <c r="B98" s="6" t="s">
        <v>236</v>
      </c>
      <c r="C98" s="64" t="s">
        <v>237</v>
      </c>
    </row>
    <row r="99" spans="2:3" ht="15.75">
      <c r="B99" s="6" t="s">
        <v>234</v>
      </c>
      <c r="C99" s="64" t="s">
        <v>235</v>
      </c>
    </row>
    <row r="100" spans="2:3" ht="15.75">
      <c r="B100" s="6" t="s">
        <v>238</v>
      </c>
      <c r="C100" s="64" t="s">
        <v>239</v>
      </c>
    </row>
    <row r="101" spans="2:3" ht="15.75">
      <c r="B101" s="6" t="s">
        <v>232</v>
      </c>
      <c r="C101" s="64" t="s">
        <v>233</v>
      </c>
    </row>
    <row r="102" spans="2:3" ht="15.75">
      <c r="B102" s="6" t="s">
        <v>240</v>
      </c>
      <c r="C102" s="64" t="s">
        <v>241</v>
      </c>
    </row>
    <row r="103" spans="2:3" ht="15.75">
      <c r="B103" s="6" t="s">
        <v>18</v>
      </c>
      <c r="C103" s="6" t="s">
        <v>19</v>
      </c>
    </row>
    <row r="104" spans="2:3" ht="15.75">
      <c r="B104" s="6" t="s">
        <v>36</v>
      </c>
      <c r="C104" s="6" t="s">
        <v>19</v>
      </c>
    </row>
    <row r="105" spans="2:3" ht="15.75">
      <c r="B105" s="6" t="s">
        <v>212</v>
      </c>
      <c r="C105" s="66" t="s">
        <v>213</v>
      </c>
    </row>
    <row r="106" spans="2:3" ht="15.75">
      <c r="B106" s="65" t="s">
        <v>214</v>
      </c>
      <c r="C106" s="63" t="s">
        <v>17</v>
      </c>
    </row>
    <row r="107" spans="2:3" ht="15.75">
      <c r="B107" s="6" t="s">
        <v>58</v>
      </c>
      <c r="C107" s="66" t="s">
        <v>59</v>
      </c>
    </row>
    <row r="108" spans="2:3" ht="15.75">
      <c r="B108" s="65" t="s">
        <v>163</v>
      </c>
      <c r="C108" s="62" t="s">
        <v>59</v>
      </c>
    </row>
    <row r="109" spans="2:3" ht="15.75">
      <c r="B109" s="65" t="s">
        <v>16</v>
      </c>
      <c r="C109" s="63" t="s">
        <v>17</v>
      </c>
    </row>
    <row r="110" spans="2:3" ht="15.75">
      <c r="B110" s="65" t="s">
        <v>104</v>
      </c>
      <c r="C110" s="63" t="s">
        <v>17</v>
      </c>
    </row>
    <row r="111" spans="2:3" ht="15.75">
      <c r="B111" s="65" t="s">
        <v>194</v>
      </c>
      <c r="C111" s="63" t="s">
        <v>81</v>
      </c>
    </row>
  </sheetData>
  <sortState ref="B10:C111">
    <sortCondition ref="B10:B111"/>
  </sortState>
  <mergeCells count="6">
    <mergeCell ref="A6:D6"/>
    <mergeCell ref="E4:H4"/>
    <mergeCell ref="C1:D1"/>
    <mergeCell ref="B2:D2"/>
    <mergeCell ref="C3:D3"/>
    <mergeCell ref="C4:D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1"/>
  <sheetViews>
    <sheetView tabSelected="1" topLeftCell="A162" workbookViewId="0">
      <selection activeCell="B179" sqref="B179:H187"/>
    </sheetView>
  </sheetViews>
  <sheetFormatPr defaultRowHeight="15"/>
  <cols>
    <col min="1" max="1" width="2.5703125" customWidth="1"/>
    <col min="2" max="2" width="29.85546875" customWidth="1"/>
    <col min="3" max="3" width="7.140625" customWidth="1"/>
    <col min="4" max="4" width="6.5703125" customWidth="1"/>
    <col min="5" max="5" width="6.85546875" customWidth="1"/>
    <col min="6" max="6" width="7.85546875" customWidth="1"/>
    <col min="7" max="7" width="7.42578125" customWidth="1"/>
    <col min="8" max="8" width="11.5703125" customWidth="1"/>
  </cols>
  <sheetData>
    <row r="1" spans="1:8">
      <c r="E1" s="1"/>
      <c r="F1" s="1"/>
      <c r="G1" s="1" t="s">
        <v>0</v>
      </c>
      <c r="H1" s="1"/>
    </row>
    <row r="2" spans="1:8">
      <c r="E2" s="1" t="s">
        <v>1</v>
      </c>
      <c r="F2" s="1"/>
      <c r="G2" s="1"/>
      <c r="H2" s="1"/>
    </row>
    <row r="3" spans="1:8">
      <c r="A3" s="2"/>
      <c r="B3" s="2"/>
      <c r="C3" s="2"/>
      <c r="D3" s="2"/>
      <c r="E3" s="1" t="s">
        <v>2</v>
      </c>
      <c r="F3" s="1"/>
      <c r="G3" s="1"/>
      <c r="H3" s="1"/>
    </row>
    <row r="4" spans="1:8">
      <c r="C4" s="3"/>
      <c r="E4" s="76" t="s">
        <v>262</v>
      </c>
      <c r="F4" s="76"/>
      <c r="G4" s="76"/>
      <c r="H4" s="76"/>
    </row>
    <row r="5" spans="1:8" ht="15.75">
      <c r="A5" s="84" t="s">
        <v>3</v>
      </c>
      <c r="B5" s="84"/>
      <c r="C5" s="84"/>
      <c r="D5" s="84"/>
      <c r="E5" s="84"/>
      <c r="F5" s="84"/>
      <c r="G5" s="84"/>
      <c r="H5" s="84"/>
    </row>
    <row r="6" spans="1:8" ht="30" customHeight="1">
      <c r="A6" s="84" t="s">
        <v>261</v>
      </c>
      <c r="B6" s="84"/>
      <c r="C6" s="84"/>
      <c r="D6" s="84"/>
      <c r="E6" s="84"/>
      <c r="F6" s="84"/>
      <c r="G6" s="84"/>
      <c r="H6" s="84"/>
    </row>
    <row r="7" spans="1:8">
      <c r="C7" s="3"/>
    </row>
    <row r="8" spans="1:8">
      <c r="A8" s="80" t="s">
        <v>4</v>
      </c>
      <c r="B8" s="81"/>
      <c r="C8" s="45"/>
      <c r="D8" s="45"/>
      <c r="E8" s="46"/>
      <c r="F8" s="46"/>
      <c r="G8" s="46"/>
      <c r="H8" s="46"/>
    </row>
    <row r="9" spans="1:8">
      <c r="A9" s="82"/>
      <c r="B9" s="85" t="s">
        <v>5</v>
      </c>
      <c r="C9" s="85" t="s">
        <v>6</v>
      </c>
      <c r="D9" s="85" t="s">
        <v>7</v>
      </c>
      <c r="E9" s="85"/>
      <c r="F9" s="85"/>
      <c r="G9" s="85" t="s">
        <v>8</v>
      </c>
      <c r="H9" s="85" t="s">
        <v>9</v>
      </c>
    </row>
    <row r="10" spans="1:8">
      <c r="A10" s="83"/>
      <c r="B10" s="85"/>
      <c r="C10" s="85"/>
      <c r="D10" s="30" t="s">
        <v>10</v>
      </c>
      <c r="E10" s="30" t="s">
        <v>11</v>
      </c>
      <c r="F10" s="30" t="s">
        <v>12</v>
      </c>
      <c r="G10" s="85"/>
      <c r="H10" s="85"/>
    </row>
    <row r="11" spans="1:8">
      <c r="A11" s="11"/>
      <c r="B11" s="26" t="s">
        <v>13</v>
      </c>
      <c r="C11" s="10"/>
      <c r="D11" s="11"/>
      <c r="E11" s="11"/>
      <c r="F11" s="11"/>
      <c r="G11" s="11"/>
      <c r="H11" s="25"/>
    </row>
    <row r="12" spans="1:8" ht="14.25" customHeight="1">
      <c r="A12" s="11"/>
      <c r="B12" s="31" t="s">
        <v>256</v>
      </c>
      <c r="C12" s="13">
        <v>200</v>
      </c>
      <c r="D12" s="13">
        <f>9.01</f>
        <v>9.01</v>
      </c>
      <c r="E12" s="13">
        <f>5.74</f>
        <v>5.74</v>
      </c>
      <c r="F12" s="13">
        <f>45.03</f>
        <v>45.03</v>
      </c>
      <c r="G12" s="13">
        <f>269</f>
        <v>269</v>
      </c>
      <c r="H12" s="33" t="s">
        <v>15</v>
      </c>
    </row>
    <row r="13" spans="1:8" ht="14.25" customHeight="1">
      <c r="A13" s="11"/>
      <c r="B13" s="31" t="s">
        <v>16</v>
      </c>
      <c r="C13" s="13">
        <v>200</v>
      </c>
      <c r="D13" s="13">
        <v>0.53</v>
      </c>
      <c r="E13" s="13">
        <v>0</v>
      </c>
      <c r="F13" s="13">
        <v>9.4700000000000006</v>
      </c>
      <c r="G13" s="13">
        <v>60</v>
      </c>
      <c r="H13" s="33" t="s">
        <v>17</v>
      </c>
    </row>
    <row r="14" spans="1:8">
      <c r="A14" s="11"/>
      <c r="B14" s="34" t="s">
        <v>18</v>
      </c>
      <c r="C14" s="70">
        <v>30</v>
      </c>
      <c r="D14" s="70">
        <v>2.09</v>
      </c>
      <c r="E14" s="70">
        <v>0.33</v>
      </c>
      <c r="F14" s="70">
        <v>13.8</v>
      </c>
      <c r="G14" s="70">
        <v>71.7</v>
      </c>
      <c r="H14" s="36" t="s">
        <v>19</v>
      </c>
    </row>
    <row r="15" spans="1:8">
      <c r="A15" s="11"/>
      <c r="B15" s="31" t="s">
        <v>97</v>
      </c>
      <c r="C15" s="13">
        <v>10</v>
      </c>
      <c r="D15" s="13">
        <v>0.1</v>
      </c>
      <c r="E15" s="13">
        <v>7.2</v>
      </c>
      <c r="F15" s="13">
        <v>0.13</v>
      </c>
      <c r="G15" s="13">
        <v>66</v>
      </c>
      <c r="H15" s="33" t="s">
        <v>20</v>
      </c>
    </row>
    <row r="16" spans="1:8">
      <c r="A16" s="11"/>
      <c r="B16" s="31" t="s">
        <v>98</v>
      </c>
      <c r="C16" s="12">
        <v>15</v>
      </c>
      <c r="D16" s="12">
        <v>5.48</v>
      </c>
      <c r="E16" s="13">
        <v>4.43</v>
      </c>
      <c r="F16" s="13">
        <v>0</v>
      </c>
      <c r="G16" s="13">
        <v>53.75</v>
      </c>
      <c r="H16" s="33" t="s">
        <v>22</v>
      </c>
    </row>
    <row r="17" spans="1:8">
      <c r="A17" s="11"/>
      <c r="B17" s="23" t="s">
        <v>23</v>
      </c>
      <c r="C17" s="37">
        <v>100</v>
      </c>
      <c r="D17" s="37">
        <v>0.4</v>
      </c>
      <c r="E17" s="37">
        <v>0.4</v>
      </c>
      <c r="F17" s="37">
        <v>9.8000000000000007</v>
      </c>
      <c r="G17" s="37">
        <v>47</v>
      </c>
      <c r="H17" s="36"/>
    </row>
    <row r="18" spans="1:8">
      <c r="A18" s="11"/>
      <c r="B18" s="24" t="s">
        <v>24</v>
      </c>
      <c r="C18" s="38">
        <f>C12+C13+C14+C15+C16+C17</f>
        <v>555</v>
      </c>
      <c r="D18" s="38">
        <f t="shared" ref="D18" si="0">D12+D13+D14+D15+D16+D17</f>
        <v>17.61</v>
      </c>
      <c r="E18" s="38">
        <f>E12+E13+E14+E15+E16+E17</f>
        <v>18.099999999999998</v>
      </c>
      <c r="F18" s="38">
        <f>F12+F13+F14+F15+F16+F17</f>
        <v>78.22999999999999</v>
      </c>
      <c r="G18" s="38">
        <f>G12+G13+G14+G15+G16+G17</f>
        <v>567.45000000000005</v>
      </c>
      <c r="H18" s="11"/>
    </row>
    <row r="19" spans="1:8">
      <c r="A19" s="36"/>
      <c r="B19" s="39" t="s">
        <v>25</v>
      </c>
      <c r="C19" s="40"/>
      <c r="D19" s="24"/>
      <c r="E19" s="24"/>
      <c r="F19" s="24"/>
      <c r="G19" s="24"/>
      <c r="H19" s="36"/>
    </row>
    <row r="20" spans="1:8" ht="13.5" customHeight="1">
      <c r="A20" s="31"/>
      <c r="B20" s="31" t="s">
        <v>26</v>
      </c>
      <c r="C20" s="16">
        <v>60</v>
      </c>
      <c r="D20" s="16">
        <v>0.42</v>
      </c>
      <c r="E20" s="16">
        <v>0.06</v>
      </c>
      <c r="F20" s="16">
        <v>1.1399999999999999</v>
      </c>
      <c r="G20" s="16">
        <v>7.2</v>
      </c>
      <c r="H20" s="31" t="s">
        <v>27</v>
      </c>
    </row>
    <row r="21" spans="1:8" ht="17.25" customHeight="1">
      <c r="A21" s="31"/>
      <c r="B21" s="31" t="s">
        <v>28</v>
      </c>
      <c r="C21" s="16">
        <v>200</v>
      </c>
      <c r="D21" s="16">
        <v>6.71</v>
      </c>
      <c r="E21" s="16">
        <v>2.6</v>
      </c>
      <c r="F21" s="16">
        <v>13.8</v>
      </c>
      <c r="G21" s="16">
        <v>102.6</v>
      </c>
      <c r="H21" s="31" t="s">
        <v>29</v>
      </c>
    </row>
    <row r="22" spans="1:8" ht="32.25" customHeight="1">
      <c r="A22" s="31"/>
      <c r="B22" s="31" t="s">
        <v>30</v>
      </c>
      <c r="C22" s="16">
        <v>90</v>
      </c>
      <c r="D22" s="16">
        <v>6.58</v>
      </c>
      <c r="E22" s="16">
        <v>11.63</v>
      </c>
      <c r="F22" s="16">
        <v>8.6</v>
      </c>
      <c r="G22" s="16">
        <f>194/80*90</f>
        <v>218.24999999999997</v>
      </c>
      <c r="H22" s="31" t="s">
        <v>31</v>
      </c>
    </row>
    <row r="23" spans="1:8" ht="15.75" customHeight="1">
      <c r="A23" s="23"/>
      <c r="B23" s="23" t="s">
        <v>32</v>
      </c>
      <c r="C23" s="19">
        <v>150</v>
      </c>
      <c r="D23" s="19">
        <v>2.63</v>
      </c>
      <c r="E23" s="19">
        <v>9.6999999999999993</v>
      </c>
      <c r="F23" s="19">
        <v>12.29</v>
      </c>
      <c r="G23" s="19">
        <v>202.86</v>
      </c>
      <c r="H23" s="23" t="s">
        <v>33</v>
      </c>
    </row>
    <row r="24" spans="1:8" ht="15.75" customHeight="1">
      <c r="A24" s="33"/>
      <c r="B24" s="31" t="s">
        <v>99</v>
      </c>
      <c r="C24" s="13">
        <v>200</v>
      </c>
      <c r="D24" s="13">
        <v>1</v>
      </c>
      <c r="E24" s="13">
        <v>0</v>
      </c>
      <c r="F24" s="13">
        <v>22.2</v>
      </c>
      <c r="G24" s="13">
        <v>84.8</v>
      </c>
      <c r="H24" s="33" t="s">
        <v>35</v>
      </c>
    </row>
    <row r="25" spans="1:8">
      <c r="A25" s="23"/>
      <c r="B25" s="34" t="s">
        <v>18</v>
      </c>
      <c r="C25" s="14">
        <v>20</v>
      </c>
      <c r="D25" s="14">
        <v>1.39</v>
      </c>
      <c r="E25" s="14">
        <f>0.33/30*20</f>
        <v>0.22000000000000003</v>
      </c>
      <c r="F25" s="14">
        <v>9.1999999999999993</v>
      </c>
      <c r="G25" s="14">
        <v>47.8</v>
      </c>
      <c r="H25" s="23" t="s">
        <v>19</v>
      </c>
    </row>
    <row r="26" spans="1:8">
      <c r="A26" s="23"/>
      <c r="B26" s="34" t="s">
        <v>36</v>
      </c>
      <c r="C26" s="19">
        <v>30</v>
      </c>
      <c r="D26" s="20">
        <v>1.96</v>
      </c>
      <c r="E26" s="20">
        <f>0.44/40*30</f>
        <v>0.32999999999999996</v>
      </c>
      <c r="F26" s="20">
        <v>13.82</v>
      </c>
      <c r="G26" s="20">
        <v>68.97</v>
      </c>
      <c r="H26" s="23" t="s">
        <v>19</v>
      </c>
    </row>
    <row r="27" spans="1:8">
      <c r="A27" s="33"/>
      <c r="B27" s="21" t="s">
        <v>24</v>
      </c>
      <c r="C27" s="22">
        <f>C20+C21+C22+C23+C24+C25+C26</f>
        <v>750</v>
      </c>
      <c r="D27" s="22">
        <f t="shared" ref="D27:G27" si="1">D20+D21+D22+D23+D24+D25+D26</f>
        <v>20.69</v>
      </c>
      <c r="E27" s="22">
        <f t="shared" si="1"/>
        <v>24.54</v>
      </c>
      <c r="F27" s="22">
        <f t="shared" si="1"/>
        <v>81.050000000000011</v>
      </c>
      <c r="G27" s="22">
        <f t="shared" si="1"/>
        <v>732.4799999999999</v>
      </c>
      <c r="H27" s="33"/>
    </row>
    <row r="28" spans="1:8">
      <c r="A28" s="77" t="s">
        <v>37</v>
      </c>
      <c r="B28" s="78"/>
      <c r="C28" s="11"/>
      <c r="D28" s="11"/>
      <c r="E28" s="11"/>
      <c r="F28" s="11"/>
      <c r="G28" s="11"/>
      <c r="H28" s="11"/>
    </row>
    <row r="29" spans="1:8">
      <c r="A29" s="25"/>
      <c r="B29" s="26" t="s">
        <v>13</v>
      </c>
      <c r="C29" s="10"/>
      <c r="D29" s="11"/>
      <c r="E29" s="11"/>
      <c r="F29" s="11"/>
      <c r="G29" s="11"/>
      <c r="H29" s="11"/>
    </row>
    <row r="30" spans="1:8" ht="12" customHeight="1">
      <c r="A30" s="11"/>
      <c r="B30" s="31" t="s">
        <v>252</v>
      </c>
      <c r="C30" s="13">
        <v>200</v>
      </c>
      <c r="D30" s="13">
        <f>12.08/150*200</f>
        <v>16.106666666666666</v>
      </c>
      <c r="E30" s="13">
        <f>19.92/150*200</f>
        <v>26.56</v>
      </c>
      <c r="F30" s="13">
        <f>4.06/150*200</f>
        <v>5.4133333333333322</v>
      </c>
      <c r="G30" s="13">
        <f>243.78/150*200</f>
        <v>325.04000000000002</v>
      </c>
      <c r="H30" s="33" t="s">
        <v>39</v>
      </c>
    </row>
    <row r="31" spans="1:8">
      <c r="A31" s="11"/>
      <c r="B31" s="34" t="s">
        <v>18</v>
      </c>
      <c r="C31" s="70">
        <v>30</v>
      </c>
      <c r="D31" s="70">
        <v>2.09</v>
      </c>
      <c r="E31" s="70">
        <v>0.33</v>
      </c>
      <c r="F31" s="70">
        <v>13.8</v>
      </c>
      <c r="G31" s="70">
        <v>71.7</v>
      </c>
      <c r="H31" s="36" t="s">
        <v>19</v>
      </c>
    </row>
    <row r="32" spans="1:8">
      <c r="A32" s="11"/>
      <c r="B32" s="31" t="s">
        <v>40</v>
      </c>
      <c r="C32" s="13">
        <v>10</v>
      </c>
      <c r="D32" s="13">
        <v>0.1</v>
      </c>
      <c r="E32" s="13">
        <v>7.2</v>
      </c>
      <c r="F32" s="13">
        <v>0.13</v>
      </c>
      <c r="G32" s="13">
        <v>66</v>
      </c>
      <c r="H32" s="33" t="s">
        <v>20</v>
      </c>
    </row>
    <row r="33" spans="1:8" ht="14.25" customHeight="1">
      <c r="A33" s="11"/>
      <c r="B33" s="11" t="s">
        <v>41</v>
      </c>
      <c r="C33" s="13">
        <v>200</v>
      </c>
      <c r="D33" s="13">
        <v>3.17</v>
      </c>
      <c r="E33" s="13">
        <v>2.68</v>
      </c>
      <c r="F33" s="13">
        <v>15.95</v>
      </c>
      <c r="G33" s="13">
        <v>100.6</v>
      </c>
      <c r="H33" s="33" t="s">
        <v>42</v>
      </c>
    </row>
    <row r="34" spans="1:8">
      <c r="A34" s="11"/>
      <c r="B34" s="23" t="s">
        <v>43</v>
      </c>
      <c r="C34" s="37">
        <v>60</v>
      </c>
      <c r="D34" s="37">
        <v>6.76</v>
      </c>
      <c r="E34" s="37">
        <v>7.54</v>
      </c>
      <c r="F34" s="37">
        <v>71.58</v>
      </c>
      <c r="G34" s="37">
        <v>380.17</v>
      </c>
      <c r="H34" s="36"/>
    </row>
    <row r="35" spans="1:8">
      <c r="A35" s="11"/>
      <c r="B35" s="24" t="s">
        <v>24</v>
      </c>
      <c r="C35" s="38">
        <f>C30+C31+C32+C33+C34</f>
        <v>500</v>
      </c>
      <c r="D35" s="38">
        <f t="shared" ref="D35" si="2">D30+D31+D32+D33+D34</f>
        <v>28.226666666666667</v>
      </c>
      <c r="E35" s="38">
        <f>E30+E31+E32+E33+E34</f>
        <v>44.309999999999995</v>
      </c>
      <c r="F35" s="38">
        <f>F30+F31+F32+F33+F34</f>
        <v>106.87333333333333</v>
      </c>
      <c r="G35" s="38">
        <f>G30+G31+G32+G33+G34</f>
        <v>943.51</v>
      </c>
      <c r="H35" s="11"/>
    </row>
    <row r="36" spans="1:8">
      <c r="A36" s="36"/>
      <c r="B36" s="39" t="s">
        <v>25</v>
      </c>
      <c r="C36" s="40"/>
      <c r="D36" s="24"/>
      <c r="E36" s="24"/>
      <c r="F36" s="24"/>
      <c r="G36" s="24"/>
      <c r="H36" s="36"/>
    </row>
    <row r="37" spans="1:8" ht="30">
      <c r="A37" s="36"/>
      <c r="B37" s="23" t="s">
        <v>44</v>
      </c>
      <c r="C37" s="12">
        <v>60</v>
      </c>
      <c r="D37" s="12">
        <v>0.77</v>
      </c>
      <c r="E37" s="12">
        <v>3.71</v>
      </c>
      <c r="F37" s="12">
        <v>1.07</v>
      </c>
      <c r="G37" s="12">
        <v>47.14</v>
      </c>
      <c r="H37" s="36" t="s">
        <v>45</v>
      </c>
    </row>
    <row r="38" spans="1:8" ht="17.25" customHeight="1">
      <c r="A38" s="36"/>
      <c r="B38" s="23" t="s">
        <v>46</v>
      </c>
      <c r="C38" s="12">
        <v>200</v>
      </c>
      <c r="D38" s="12">
        <v>1.86</v>
      </c>
      <c r="E38" s="12">
        <v>5.92</v>
      </c>
      <c r="F38" s="12">
        <v>8.4</v>
      </c>
      <c r="G38" s="12">
        <v>78.72</v>
      </c>
      <c r="H38" s="36" t="s">
        <v>47</v>
      </c>
    </row>
    <row r="39" spans="1:8">
      <c r="A39" s="36"/>
      <c r="B39" s="23" t="s">
        <v>48</v>
      </c>
      <c r="C39" s="37">
        <v>10</v>
      </c>
      <c r="D39" s="37">
        <v>0.26</v>
      </c>
      <c r="E39" s="37">
        <v>1.5</v>
      </c>
      <c r="F39" s="37">
        <f>0.36/2*2.5</f>
        <v>0.44999999999999996</v>
      </c>
      <c r="G39" s="37">
        <v>16.2</v>
      </c>
      <c r="H39" s="36"/>
    </row>
    <row r="40" spans="1:8" ht="14.25" customHeight="1">
      <c r="A40" s="36"/>
      <c r="B40" s="23" t="s">
        <v>49</v>
      </c>
      <c r="C40" s="12">
        <v>90</v>
      </c>
      <c r="D40" s="12">
        <f>9.94/8*9</f>
        <v>11.182499999999999</v>
      </c>
      <c r="E40" s="12">
        <f>5.98/8*9</f>
        <v>6.7275000000000009</v>
      </c>
      <c r="F40" s="12">
        <f>2.09/8*9</f>
        <v>2.3512499999999998</v>
      </c>
      <c r="G40" s="12">
        <f>90*0.9</f>
        <v>81</v>
      </c>
      <c r="H40" s="36" t="s">
        <v>50</v>
      </c>
    </row>
    <row r="41" spans="1:8" ht="15.75" customHeight="1">
      <c r="A41" s="36"/>
      <c r="B41" s="23" t="s">
        <v>51</v>
      </c>
      <c r="C41" s="12">
        <v>150</v>
      </c>
      <c r="D41" s="12">
        <v>2.96</v>
      </c>
      <c r="E41" s="12">
        <v>4.32</v>
      </c>
      <c r="F41" s="12">
        <v>18.010000000000002</v>
      </c>
      <c r="G41" s="12">
        <v>142.35</v>
      </c>
      <c r="H41" s="36" t="s">
        <v>52</v>
      </c>
    </row>
    <row r="42" spans="1:8" ht="12" customHeight="1">
      <c r="A42" s="33"/>
      <c r="B42" s="31" t="s">
        <v>53</v>
      </c>
      <c r="C42" s="13">
        <v>200</v>
      </c>
      <c r="D42" s="13">
        <v>1.1599999999999999</v>
      </c>
      <c r="E42" s="13">
        <v>0.3</v>
      </c>
      <c r="F42" s="13">
        <v>47.26</v>
      </c>
      <c r="G42" s="13">
        <v>196.38</v>
      </c>
      <c r="H42" s="33" t="s">
        <v>54</v>
      </c>
    </row>
    <row r="43" spans="1:8">
      <c r="A43" s="23"/>
      <c r="B43" s="34" t="s">
        <v>18</v>
      </c>
      <c r="C43" s="14">
        <v>20</v>
      </c>
      <c r="D43" s="14">
        <v>1.39</v>
      </c>
      <c r="E43" s="14">
        <f>0.33/30*20</f>
        <v>0.22000000000000003</v>
      </c>
      <c r="F43" s="14">
        <v>9.1999999999999993</v>
      </c>
      <c r="G43" s="14">
        <v>47.8</v>
      </c>
      <c r="H43" s="23" t="s">
        <v>19</v>
      </c>
    </row>
    <row r="44" spans="1:8">
      <c r="A44" s="23"/>
      <c r="B44" s="34" t="s">
        <v>36</v>
      </c>
      <c r="C44" s="19">
        <v>30</v>
      </c>
      <c r="D44" s="20">
        <v>1.96</v>
      </c>
      <c r="E44" s="20">
        <f>0.44/40*30</f>
        <v>0.32999999999999996</v>
      </c>
      <c r="F44" s="20">
        <v>13.82</v>
      </c>
      <c r="G44" s="20">
        <v>68.97</v>
      </c>
      <c r="H44" s="23" t="s">
        <v>19</v>
      </c>
    </row>
    <row r="45" spans="1:8">
      <c r="A45" s="33"/>
      <c r="B45" s="21" t="s">
        <v>24</v>
      </c>
      <c r="C45" s="44">
        <f>C37+C38+C40+C39+C41+C42+C43+C44</f>
        <v>760</v>
      </c>
      <c r="D45" s="44">
        <f t="shared" ref="D45" si="3">D37+D38+D40+D39+D41+D42+D43+D44</f>
        <v>21.5425</v>
      </c>
      <c r="E45" s="44">
        <f>E37+E38+E40+E39+E41+E42+E43+E44</f>
        <v>23.0275</v>
      </c>
      <c r="F45" s="44">
        <f>F37+F38+F40+F39+F41+F42+F43+F44</f>
        <v>100.56125</v>
      </c>
      <c r="G45" s="44">
        <f>G37+G38+G40+G39+G41+G42+G43+G44</f>
        <v>678.56</v>
      </c>
      <c r="H45" s="44"/>
    </row>
    <row r="46" spans="1:8">
      <c r="A46" s="33"/>
      <c r="B46" s="21"/>
      <c r="C46" s="44"/>
      <c r="D46" s="44"/>
      <c r="E46" s="44"/>
      <c r="F46" s="44"/>
      <c r="G46" s="44"/>
      <c r="H46" s="44"/>
    </row>
    <row r="47" spans="1:8">
      <c r="A47" s="33"/>
      <c r="B47" s="21"/>
      <c r="C47" s="44"/>
      <c r="D47" s="44"/>
      <c r="E47" s="44"/>
      <c r="F47" s="44"/>
      <c r="G47" s="44"/>
      <c r="H47" s="44"/>
    </row>
    <row r="48" spans="1:8">
      <c r="A48" s="77" t="s">
        <v>55</v>
      </c>
      <c r="B48" s="77"/>
      <c r="C48" s="11"/>
      <c r="D48" s="11"/>
      <c r="E48" s="11"/>
      <c r="F48" s="11"/>
      <c r="G48" s="11"/>
      <c r="H48" s="11"/>
    </row>
    <row r="49" spans="1:10">
      <c r="B49" s="47" t="s">
        <v>13</v>
      </c>
      <c r="C49" s="10"/>
      <c r="D49" s="11"/>
      <c r="E49" s="11"/>
      <c r="F49" s="11"/>
      <c r="G49" s="11"/>
      <c r="H49" s="25"/>
    </row>
    <row r="50" spans="1:10" ht="12" customHeight="1">
      <c r="A50" s="11"/>
      <c r="B50" s="23" t="s">
        <v>49</v>
      </c>
      <c r="C50" s="19">
        <v>90</v>
      </c>
      <c r="D50" s="19">
        <v>8.94</v>
      </c>
      <c r="E50" s="19">
        <v>3.98</v>
      </c>
      <c r="F50" s="19">
        <v>2.09</v>
      </c>
      <c r="G50" s="19">
        <f>82/80*90</f>
        <v>92.249999999999986</v>
      </c>
      <c r="H50" s="48" t="s">
        <v>50</v>
      </c>
    </row>
    <row r="51" spans="1:10" ht="13.5" customHeight="1">
      <c r="A51" s="11"/>
      <c r="B51" s="31" t="s">
        <v>56</v>
      </c>
      <c r="C51" s="16">
        <v>150</v>
      </c>
      <c r="D51" s="18">
        <v>3.08</v>
      </c>
      <c r="E51" s="18">
        <v>2.33</v>
      </c>
      <c r="F51" s="18">
        <v>19.13</v>
      </c>
      <c r="G51" s="18">
        <v>119.73</v>
      </c>
      <c r="H51" s="25" t="s">
        <v>57</v>
      </c>
    </row>
    <row r="52" spans="1:10" ht="18" customHeight="1">
      <c r="A52" s="50"/>
      <c r="B52" s="23" t="s">
        <v>58</v>
      </c>
      <c r="C52" s="19">
        <v>200</v>
      </c>
      <c r="D52" s="19">
        <v>0.13</v>
      </c>
      <c r="E52" s="19">
        <v>0.02</v>
      </c>
      <c r="F52" s="19">
        <v>15.73</v>
      </c>
      <c r="G52" s="19">
        <v>64.17</v>
      </c>
      <c r="H52" s="48" t="s">
        <v>59</v>
      </c>
    </row>
    <row r="53" spans="1:10">
      <c r="A53" s="11"/>
      <c r="B53" s="34" t="s">
        <v>18</v>
      </c>
      <c r="C53" s="14">
        <v>30</v>
      </c>
      <c r="D53" s="14">
        <v>2.09</v>
      </c>
      <c r="E53" s="14">
        <v>0.33</v>
      </c>
      <c r="F53" s="14">
        <v>13.8</v>
      </c>
      <c r="G53" s="14">
        <v>71.7</v>
      </c>
      <c r="H53" s="48" t="s">
        <v>19</v>
      </c>
    </row>
    <row r="54" spans="1:10">
      <c r="A54" s="11"/>
      <c r="B54" s="31" t="s">
        <v>144</v>
      </c>
      <c r="C54" s="16">
        <v>10</v>
      </c>
      <c r="D54" s="16">
        <v>0.1</v>
      </c>
      <c r="E54" s="16">
        <v>7.2</v>
      </c>
      <c r="F54" s="16">
        <v>0.13</v>
      </c>
      <c r="G54" s="16">
        <v>66</v>
      </c>
      <c r="H54" s="25" t="s">
        <v>20</v>
      </c>
    </row>
    <row r="55" spans="1:10">
      <c r="A55" s="11"/>
      <c r="B55" s="23" t="s">
        <v>61</v>
      </c>
      <c r="C55" s="42">
        <v>30</v>
      </c>
      <c r="D55" s="37">
        <v>3.38</v>
      </c>
      <c r="E55" s="37">
        <v>3.77</v>
      </c>
      <c r="F55" s="37">
        <v>35.79</v>
      </c>
      <c r="G55" s="37">
        <v>190.17</v>
      </c>
      <c r="H55" s="11"/>
    </row>
    <row r="56" spans="1:10">
      <c r="A56" s="11"/>
      <c r="B56" s="17" t="s">
        <v>24</v>
      </c>
      <c r="C56" s="51">
        <f>C50+C51+C52+C53+C54+C55</f>
        <v>510</v>
      </c>
      <c r="D56" s="51">
        <f t="shared" ref="D56" si="4">D50+D51+D52+D53+D54+D55</f>
        <v>17.72</v>
      </c>
      <c r="E56" s="51">
        <f>E50+E51+E52+E53+E54+E55</f>
        <v>17.63</v>
      </c>
      <c r="F56" s="51">
        <f>F50+F51+F52+F53+F54+F55</f>
        <v>86.67</v>
      </c>
      <c r="G56" s="51">
        <f>G50+G51+G52+G53+G54+G55</f>
        <v>604.02</v>
      </c>
      <c r="H56" s="48"/>
    </row>
    <row r="57" spans="1:10">
      <c r="A57" s="11"/>
      <c r="B57" s="52" t="s">
        <v>25</v>
      </c>
      <c r="C57" s="40"/>
      <c r="D57" s="24"/>
      <c r="E57" s="24"/>
      <c r="F57" s="24"/>
      <c r="G57" s="24"/>
      <c r="H57" s="36"/>
    </row>
    <row r="58" spans="1:10" ht="14.25" customHeight="1">
      <c r="A58" s="11"/>
      <c r="B58" s="23" t="s">
        <v>62</v>
      </c>
      <c r="C58" s="19">
        <v>60</v>
      </c>
      <c r="D58" s="19">
        <v>0.66</v>
      </c>
      <c r="E58" s="19">
        <v>3.63</v>
      </c>
      <c r="F58" s="19">
        <v>2.27</v>
      </c>
      <c r="G58" s="19">
        <v>44.34</v>
      </c>
      <c r="H58" s="48" t="s">
        <v>63</v>
      </c>
    </row>
    <row r="59" spans="1:10" ht="16.5" customHeight="1">
      <c r="A59" s="11"/>
      <c r="B59" s="23" t="s">
        <v>64</v>
      </c>
      <c r="C59" s="19">
        <v>200</v>
      </c>
      <c r="D59" s="19">
        <v>1.58</v>
      </c>
      <c r="E59" s="19">
        <v>2.17</v>
      </c>
      <c r="F59" s="19">
        <v>9.69</v>
      </c>
      <c r="G59" s="19">
        <v>68.599999999999994</v>
      </c>
      <c r="H59" s="48" t="s">
        <v>65</v>
      </c>
    </row>
    <row r="60" spans="1:10" ht="18" customHeight="1">
      <c r="A60" s="11"/>
      <c r="B60" s="31" t="s">
        <v>66</v>
      </c>
      <c r="C60" s="16">
        <v>90</v>
      </c>
      <c r="D60" s="16">
        <f>9.6/8*9</f>
        <v>10.799999999999999</v>
      </c>
      <c r="E60" s="16">
        <f>9.87/8*9</f>
        <v>11.10375</v>
      </c>
      <c r="F60" s="16">
        <f>2.27/8*9</f>
        <v>2.55375</v>
      </c>
      <c r="G60" s="16">
        <f>290*0.9</f>
        <v>261</v>
      </c>
      <c r="H60" s="25" t="s">
        <v>67</v>
      </c>
    </row>
    <row r="61" spans="1:10" ht="15.75" customHeight="1">
      <c r="A61" s="11"/>
      <c r="B61" s="23" t="s">
        <v>68</v>
      </c>
      <c r="C61" s="19">
        <v>150</v>
      </c>
      <c r="D61" s="19">
        <v>5.52</v>
      </c>
      <c r="E61" s="19">
        <v>4.5199999999999996</v>
      </c>
      <c r="F61" s="19">
        <v>26.45</v>
      </c>
      <c r="G61" s="19">
        <v>168.45</v>
      </c>
      <c r="H61" s="48" t="s">
        <v>69</v>
      </c>
    </row>
    <row r="62" spans="1:10" ht="30">
      <c r="A62" s="11"/>
      <c r="B62" s="31" t="s">
        <v>70</v>
      </c>
      <c r="C62" s="16">
        <v>200</v>
      </c>
      <c r="D62" s="16">
        <v>0.4</v>
      </c>
      <c r="E62" s="16">
        <v>0.27</v>
      </c>
      <c r="F62" s="16">
        <v>17.2</v>
      </c>
      <c r="G62" s="16">
        <v>72.8</v>
      </c>
      <c r="H62" s="25" t="s">
        <v>71</v>
      </c>
    </row>
    <row r="63" spans="1:10">
      <c r="A63" s="11"/>
      <c r="B63" s="34" t="s">
        <v>18</v>
      </c>
      <c r="C63" s="14">
        <v>20</v>
      </c>
      <c r="D63" s="14">
        <v>1.39</v>
      </c>
      <c r="E63" s="14">
        <f>0.33/30*20</f>
        <v>0.22000000000000003</v>
      </c>
      <c r="F63" s="14">
        <v>9.1999999999999993</v>
      </c>
      <c r="G63" s="14">
        <v>47.8</v>
      </c>
      <c r="H63" s="23" t="s">
        <v>19</v>
      </c>
    </row>
    <row r="64" spans="1:10">
      <c r="A64" s="11"/>
      <c r="B64" s="34" t="s">
        <v>36</v>
      </c>
      <c r="C64" s="19">
        <v>30</v>
      </c>
      <c r="D64" s="20">
        <v>1.96</v>
      </c>
      <c r="E64" s="20">
        <f>0.44/40*30</f>
        <v>0.32999999999999996</v>
      </c>
      <c r="F64" s="20">
        <v>13.82</v>
      </c>
      <c r="G64" s="20">
        <v>68.97</v>
      </c>
      <c r="H64" s="23" t="s">
        <v>19</v>
      </c>
      <c r="J64">
        <f>2350*0.3</f>
        <v>705</v>
      </c>
    </row>
    <row r="65" spans="1:8">
      <c r="A65" s="11"/>
      <c r="B65" s="21" t="s">
        <v>24</v>
      </c>
      <c r="C65" s="44">
        <f>C58+C59+C60+C61+C62+C63+C64</f>
        <v>750</v>
      </c>
      <c r="D65" s="44">
        <f t="shared" ref="D65" si="5">D58+D59+D60+D61+D62+D63+D64</f>
        <v>22.31</v>
      </c>
      <c r="E65" s="44">
        <f>E58+E59+E60+E61+E62+E63+E64</f>
        <v>22.243749999999995</v>
      </c>
      <c r="F65" s="44">
        <f>F58+F59+F60+F61+F62+F63+F64</f>
        <v>81.183750000000003</v>
      </c>
      <c r="G65" s="44">
        <f>G58+G59+G60+G61+G62+G63+G64</f>
        <v>731.95999999999992</v>
      </c>
      <c r="H65" s="33"/>
    </row>
    <row r="66" spans="1:8">
      <c r="A66" s="77" t="s">
        <v>72</v>
      </c>
      <c r="B66" s="77"/>
      <c r="C66" s="11"/>
      <c r="D66" s="11"/>
      <c r="E66" s="11"/>
      <c r="F66" s="11"/>
      <c r="G66" s="11"/>
      <c r="H66" s="11"/>
    </row>
    <row r="67" spans="1:8">
      <c r="A67" s="11"/>
      <c r="B67" s="26" t="s">
        <v>13</v>
      </c>
      <c r="C67" s="10"/>
      <c r="D67" s="11"/>
      <c r="E67" s="11"/>
      <c r="F67" s="11"/>
      <c r="G67" s="11"/>
      <c r="H67" s="25"/>
    </row>
    <row r="68" spans="1:8" ht="45">
      <c r="A68" s="11"/>
      <c r="B68" s="23" t="s">
        <v>73</v>
      </c>
      <c r="C68" s="12">
        <v>200</v>
      </c>
      <c r="D68" s="12">
        <f>10.03/150*200</f>
        <v>13.373333333333331</v>
      </c>
      <c r="E68" s="12">
        <f>7.83/150*200</f>
        <v>10.440000000000001</v>
      </c>
      <c r="F68" s="12">
        <f>29.71/150*200</f>
        <v>39.613333333333337</v>
      </c>
      <c r="G68" s="12">
        <f>258.75/150*200</f>
        <v>345</v>
      </c>
      <c r="H68" s="36" t="s">
        <v>74</v>
      </c>
    </row>
    <row r="69" spans="1:8" ht="20.25" customHeight="1">
      <c r="A69" s="11"/>
      <c r="B69" s="31" t="s">
        <v>75</v>
      </c>
      <c r="C69" s="13">
        <v>200</v>
      </c>
      <c r="D69" s="13">
        <v>4.08</v>
      </c>
      <c r="E69" s="13">
        <v>3</v>
      </c>
      <c r="F69" s="13">
        <v>17.579999999999998</v>
      </c>
      <c r="G69" s="13">
        <v>118.6</v>
      </c>
      <c r="H69" s="33" t="s">
        <v>76</v>
      </c>
    </row>
    <row r="70" spans="1:8">
      <c r="A70" s="11"/>
      <c r="B70" s="34" t="s">
        <v>18</v>
      </c>
      <c r="C70" s="14">
        <v>30</v>
      </c>
      <c r="D70" s="14">
        <v>2.09</v>
      </c>
      <c r="E70" s="14">
        <v>0.33</v>
      </c>
      <c r="F70" s="14">
        <v>13.8</v>
      </c>
      <c r="G70" s="14">
        <v>71.7</v>
      </c>
      <c r="H70" s="48" t="s">
        <v>19</v>
      </c>
    </row>
    <row r="71" spans="1:8">
      <c r="A71" s="11"/>
      <c r="B71" s="31" t="s">
        <v>40</v>
      </c>
      <c r="C71" s="15">
        <v>10</v>
      </c>
      <c r="D71" s="16">
        <v>0.1</v>
      </c>
      <c r="E71" s="16">
        <v>7.2</v>
      </c>
      <c r="F71" s="16">
        <v>0.13</v>
      </c>
      <c r="G71" s="16">
        <v>66</v>
      </c>
      <c r="H71" s="25" t="s">
        <v>20</v>
      </c>
    </row>
    <row r="72" spans="1:8">
      <c r="A72" s="11"/>
      <c r="B72" s="23" t="s">
        <v>77</v>
      </c>
      <c r="C72" s="11">
        <v>200</v>
      </c>
      <c r="D72" s="42">
        <v>2</v>
      </c>
      <c r="E72" s="42">
        <v>0</v>
      </c>
      <c r="F72" s="42">
        <v>40.4</v>
      </c>
      <c r="G72" s="42">
        <v>196.6</v>
      </c>
      <c r="H72" s="11"/>
    </row>
    <row r="73" spans="1:8">
      <c r="A73" s="11"/>
      <c r="B73" s="17" t="s">
        <v>24</v>
      </c>
      <c r="C73" s="51">
        <f>C68+C69+C70+C71+C72</f>
        <v>640</v>
      </c>
      <c r="D73" s="51">
        <f t="shared" ref="D73" si="6">D68+D69+D70+D71+D72</f>
        <v>21.643333333333334</v>
      </c>
      <c r="E73" s="51">
        <f>E68+E69+E70+E71+E72</f>
        <v>20.970000000000002</v>
      </c>
      <c r="F73" s="51">
        <f>F68+F69+F70+F71+F72</f>
        <v>111.52333333333334</v>
      </c>
      <c r="G73" s="51">
        <f>G68+G69+G70+G71+G72</f>
        <v>797.90000000000009</v>
      </c>
      <c r="H73" s="48"/>
    </row>
    <row r="74" spans="1:8">
      <c r="A74" s="36"/>
      <c r="B74" s="39" t="s">
        <v>25</v>
      </c>
      <c r="C74" s="40"/>
      <c r="D74" s="24"/>
      <c r="E74" s="24"/>
      <c r="F74" s="24"/>
      <c r="G74" s="24"/>
      <c r="H74" s="36"/>
    </row>
    <row r="75" spans="1:8" ht="30">
      <c r="A75" s="36"/>
      <c r="B75" s="23" t="s">
        <v>78</v>
      </c>
      <c r="C75" s="12">
        <v>60</v>
      </c>
      <c r="D75" s="12">
        <v>0.84</v>
      </c>
      <c r="E75" s="12">
        <v>3.61</v>
      </c>
      <c r="F75" s="12">
        <v>4.96</v>
      </c>
      <c r="G75" s="12">
        <v>55.68</v>
      </c>
      <c r="H75" s="36" t="s">
        <v>79</v>
      </c>
    </row>
    <row r="76" spans="1:8">
      <c r="A76" s="33"/>
      <c r="B76" s="31" t="s">
        <v>80</v>
      </c>
      <c r="C76" s="13">
        <v>200</v>
      </c>
      <c r="D76" s="13">
        <v>1.76</v>
      </c>
      <c r="E76" s="13">
        <v>4.95</v>
      </c>
      <c r="F76" s="13">
        <v>7.9</v>
      </c>
      <c r="G76" s="13">
        <v>89.75</v>
      </c>
      <c r="H76" s="33" t="s">
        <v>81</v>
      </c>
    </row>
    <row r="77" spans="1:8" ht="15.75" customHeight="1">
      <c r="A77" s="36"/>
      <c r="B77" s="23" t="s">
        <v>82</v>
      </c>
      <c r="C77" s="12">
        <v>240</v>
      </c>
      <c r="D77" s="12">
        <v>18.010000000000002</v>
      </c>
      <c r="E77" s="12">
        <v>10.95</v>
      </c>
      <c r="F77" s="12">
        <f>36.45/200*240</f>
        <v>43.740000000000009</v>
      </c>
      <c r="G77" s="12">
        <v>298.67</v>
      </c>
      <c r="H77" s="36" t="s">
        <v>83</v>
      </c>
    </row>
    <row r="78" spans="1:8" ht="17.25" customHeight="1">
      <c r="A78" s="33"/>
      <c r="B78" s="31" t="s">
        <v>84</v>
      </c>
      <c r="C78" s="13">
        <v>200</v>
      </c>
      <c r="D78" s="13">
        <v>0.16</v>
      </c>
      <c r="E78" s="13">
        <v>0.16</v>
      </c>
      <c r="F78" s="13">
        <v>23.78</v>
      </c>
      <c r="G78" s="13">
        <v>97.6</v>
      </c>
      <c r="H78" s="33" t="s">
        <v>85</v>
      </c>
    </row>
    <row r="79" spans="1:8">
      <c r="A79" s="23"/>
      <c r="B79" s="34" t="s">
        <v>18</v>
      </c>
      <c r="C79" s="14">
        <v>20</v>
      </c>
      <c r="D79" s="14">
        <v>1.39</v>
      </c>
      <c r="E79" s="14">
        <f>0.33/30*20</f>
        <v>0.22000000000000003</v>
      </c>
      <c r="F79" s="14">
        <v>9.1999999999999993</v>
      </c>
      <c r="G79" s="14">
        <v>47.8</v>
      </c>
      <c r="H79" s="23" t="s">
        <v>19</v>
      </c>
    </row>
    <row r="80" spans="1:8">
      <c r="A80" s="23"/>
      <c r="B80" s="34" t="s">
        <v>36</v>
      </c>
      <c r="C80" s="19">
        <v>30</v>
      </c>
      <c r="D80" s="20">
        <v>1.96</v>
      </c>
      <c r="E80" s="20">
        <f>0.44/40*30</f>
        <v>0.32999999999999996</v>
      </c>
      <c r="F80" s="20">
        <v>13.82</v>
      </c>
      <c r="G80" s="20">
        <v>68.97</v>
      </c>
      <c r="H80" s="23" t="s">
        <v>19</v>
      </c>
    </row>
    <row r="81" spans="1:8">
      <c r="A81" s="33"/>
      <c r="B81" s="21" t="s">
        <v>24</v>
      </c>
      <c r="C81" s="44">
        <f>C75+C76+C77+C78+C79+C80</f>
        <v>750</v>
      </c>
      <c r="D81" s="44">
        <f t="shared" ref="D81" si="7">D75+D76+D77+D78+D79+D80</f>
        <v>24.120000000000005</v>
      </c>
      <c r="E81" s="44">
        <f>E75+E76+E77+E78+E79+E80</f>
        <v>20.219999999999995</v>
      </c>
      <c r="F81" s="44">
        <f>F75+F76+F77+F78+F79+F80</f>
        <v>103.4</v>
      </c>
      <c r="G81" s="44">
        <f>G75+G76+G77+G78+G79+G80</f>
        <v>658.47</v>
      </c>
      <c r="H81" s="33"/>
    </row>
    <row r="82" spans="1:8">
      <c r="A82" s="79" t="s">
        <v>86</v>
      </c>
      <c r="B82" s="79"/>
      <c r="C82" s="54"/>
      <c r="D82" s="54"/>
      <c r="E82" s="54"/>
      <c r="F82" s="54"/>
      <c r="G82" s="54"/>
      <c r="H82" s="54"/>
    </row>
    <row r="83" spans="1:8">
      <c r="A83" s="25"/>
      <c r="B83" s="9" t="s">
        <v>13</v>
      </c>
      <c r="C83" s="10"/>
      <c r="D83" s="11"/>
      <c r="E83" s="11"/>
      <c r="F83" s="11"/>
      <c r="G83" s="11"/>
      <c r="H83" s="11"/>
    </row>
    <row r="84" spans="1:8" ht="30">
      <c r="A84" s="54"/>
      <c r="B84" s="23" t="s">
        <v>87</v>
      </c>
      <c r="C84" s="12">
        <v>210</v>
      </c>
      <c r="D84" s="12">
        <f>12.18/180*210</f>
        <v>14.21</v>
      </c>
      <c r="E84" s="12">
        <f>8.33/180*210</f>
        <v>9.7183333333333337</v>
      </c>
      <c r="F84" s="12">
        <f>30.7/180*210</f>
        <v>35.816666666666663</v>
      </c>
      <c r="G84" s="12">
        <f>300.96/180*210</f>
        <v>351.12</v>
      </c>
      <c r="H84" s="36" t="s">
        <v>88</v>
      </c>
    </row>
    <row r="85" spans="1:8" ht="15" customHeight="1">
      <c r="A85" s="54"/>
      <c r="B85" s="31" t="s">
        <v>16</v>
      </c>
      <c r="C85" s="13">
        <v>200</v>
      </c>
      <c r="D85" s="13">
        <v>0.53</v>
      </c>
      <c r="E85" s="13">
        <v>0</v>
      </c>
      <c r="F85" s="13">
        <v>9.4700000000000006</v>
      </c>
      <c r="G85" s="13">
        <v>60</v>
      </c>
      <c r="H85" s="33" t="s">
        <v>17</v>
      </c>
    </row>
    <row r="86" spans="1:8">
      <c r="A86" s="54"/>
      <c r="B86" s="34" t="s">
        <v>18</v>
      </c>
      <c r="C86" s="14">
        <v>30</v>
      </c>
      <c r="D86" s="14">
        <v>2.09</v>
      </c>
      <c r="E86" s="71">
        <v>0.33</v>
      </c>
      <c r="F86" s="71">
        <v>13.8</v>
      </c>
      <c r="G86" s="71">
        <v>71.7</v>
      </c>
      <c r="H86" s="48" t="s">
        <v>19</v>
      </c>
    </row>
    <row r="87" spans="1:8">
      <c r="A87" s="54"/>
      <c r="B87" s="31" t="s">
        <v>40</v>
      </c>
      <c r="C87" s="15">
        <v>10</v>
      </c>
      <c r="D87" s="16">
        <v>0.1</v>
      </c>
      <c r="E87" s="16">
        <v>7.2</v>
      </c>
      <c r="F87" s="16">
        <v>0.13</v>
      </c>
      <c r="G87" s="16">
        <v>66</v>
      </c>
      <c r="H87" s="25" t="s">
        <v>20</v>
      </c>
    </row>
    <row r="88" spans="1:8">
      <c r="A88" s="54"/>
      <c r="B88" s="23" t="s">
        <v>89</v>
      </c>
      <c r="C88" s="37">
        <v>100</v>
      </c>
      <c r="D88" s="37">
        <v>0.4</v>
      </c>
      <c r="E88" s="37">
        <v>0.4</v>
      </c>
      <c r="F88" s="37">
        <v>9.8000000000000007</v>
      </c>
      <c r="G88" s="37">
        <v>47</v>
      </c>
      <c r="H88" s="48"/>
    </row>
    <row r="89" spans="1:8">
      <c r="A89" s="54"/>
      <c r="B89" s="17" t="s">
        <v>24</v>
      </c>
      <c r="C89" s="51">
        <f>C84+C85+C86+C87+C88</f>
        <v>550</v>
      </c>
      <c r="D89" s="51">
        <f>D84+D85+D86+D87+D88</f>
        <v>17.329999999999998</v>
      </c>
      <c r="E89" s="51">
        <f>E84+E85+E86+E87+E88</f>
        <v>17.648333333333333</v>
      </c>
      <c r="F89" s="51">
        <f>F84+F85+F86+F87+F88</f>
        <v>69.016666666666666</v>
      </c>
      <c r="G89" s="51">
        <f>G84+G85+G86+G87+G88</f>
        <v>595.81999999999994</v>
      </c>
      <c r="H89" s="11"/>
    </row>
    <row r="90" spans="1:8">
      <c r="A90" s="36"/>
      <c r="B90" s="39" t="s">
        <v>25</v>
      </c>
      <c r="C90" s="40"/>
      <c r="D90" s="24"/>
      <c r="E90" s="24"/>
      <c r="F90" s="24"/>
      <c r="G90" s="24"/>
      <c r="H90" s="11"/>
    </row>
    <row r="91" spans="1:8" ht="30">
      <c r="A91" s="54"/>
      <c r="B91" s="31" t="s">
        <v>90</v>
      </c>
      <c r="C91" s="13">
        <v>60</v>
      </c>
      <c r="D91" s="13">
        <v>0.61</v>
      </c>
      <c r="E91" s="13">
        <v>0.1</v>
      </c>
      <c r="F91" s="13">
        <v>3.85</v>
      </c>
      <c r="G91" s="13">
        <v>78.069999999999993</v>
      </c>
      <c r="H91" s="25" t="s">
        <v>91</v>
      </c>
    </row>
    <row r="92" spans="1:8" ht="17.25" customHeight="1">
      <c r="A92" s="54"/>
      <c r="B92" s="23" t="s">
        <v>92</v>
      </c>
      <c r="C92" s="12">
        <v>200</v>
      </c>
      <c r="D92" s="12">
        <v>2.1800000000000002</v>
      </c>
      <c r="E92" s="12">
        <v>7.24</v>
      </c>
      <c r="F92" s="12">
        <v>16.36</v>
      </c>
      <c r="G92" s="12">
        <v>94.32</v>
      </c>
      <c r="H92" s="36" t="s">
        <v>93</v>
      </c>
    </row>
    <row r="93" spans="1:8" ht="18" customHeight="1">
      <c r="A93" s="54"/>
      <c r="B93" s="23" t="s">
        <v>100</v>
      </c>
      <c r="C93" s="12">
        <f>80/8*9</f>
        <v>90</v>
      </c>
      <c r="D93" s="12">
        <f>12.48/8*9</f>
        <v>14.040000000000001</v>
      </c>
      <c r="E93" s="12">
        <f>11.04/8*9</f>
        <v>12.419999999999998</v>
      </c>
      <c r="F93" s="12">
        <f>2.82/8*9</f>
        <v>3.1724999999999999</v>
      </c>
      <c r="G93" s="12">
        <f>136.8/8*9</f>
        <v>153.9</v>
      </c>
      <c r="H93" s="36" t="s">
        <v>94</v>
      </c>
    </row>
    <row r="94" spans="1:8" ht="19.5" customHeight="1">
      <c r="A94" s="54"/>
      <c r="B94" s="31" t="s">
        <v>56</v>
      </c>
      <c r="C94" s="16">
        <v>150</v>
      </c>
      <c r="D94" s="18">
        <v>3.08</v>
      </c>
      <c r="E94" s="18">
        <v>2.33</v>
      </c>
      <c r="F94" s="18">
        <v>19.13</v>
      </c>
      <c r="G94" s="18">
        <v>119.73</v>
      </c>
      <c r="H94" s="25" t="s">
        <v>57</v>
      </c>
    </row>
    <row r="95" spans="1:8" ht="21" customHeight="1">
      <c r="A95" s="54"/>
      <c r="B95" s="31" t="s">
        <v>260</v>
      </c>
      <c r="C95" s="13">
        <v>200</v>
      </c>
      <c r="D95" s="13">
        <v>0.16</v>
      </c>
      <c r="E95" s="13">
        <v>0.08</v>
      </c>
      <c r="F95" s="13">
        <v>27.5</v>
      </c>
      <c r="G95" s="13">
        <v>111.36</v>
      </c>
      <c r="H95" s="33" t="s">
        <v>96</v>
      </c>
    </row>
    <row r="96" spans="1:8">
      <c r="A96" s="54"/>
      <c r="B96" s="34" t="s">
        <v>18</v>
      </c>
      <c r="C96" s="14">
        <v>20</v>
      </c>
      <c r="D96" s="14">
        <v>1.39</v>
      </c>
      <c r="E96" s="14">
        <f>0.33/30*20</f>
        <v>0.22000000000000003</v>
      </c>
      <c r="F96" s="14">
        <v>9.1999999999999993</v>
      </c>
      <c r="G96" s="14">
        <v>47.8</v>
      </c>
      <c r="H96" s="23" t="s">
        <v>19</v>
      </c>
    </row>
    <row r="97" spans="1:8">
      <c r="A97" s="54"/>
      <c r="B97" s="34" t="s">
        <v>36</v>
      </c>
      <c r="C97" s="19">
        <v>30</v>
      </c>
      <c r="D97" s="20">
        <v>1.96</v>
      </c>
      <c r="E97" s="20">
        <f>0.44/40*30</f>
        <v>0.32999999999999996</v>
      </c>
      <c r="F97" s="20">
        <v>13.82</v>
      </c>
      <c r="G97" s="20">
        <v>68.97</v>
      </c>
      <c r="H97" s="23" t="s">
        <v>19</v>
      </c>
    </row>
    <row r="98" spans="1:8">
      <c r="A98" s="33"/>
      <c r="B98" s="21" t="s">
        <v>24</v>
      </c>
      <c r="C98" s="44">
        <f>C91+C92+C93+C94+C96+C97+C95</f>
        <v>750</v>
      </c>
      <c r="D98" s="44">
        <f t="shared" ref="D98:F98" si="8">D91+D92+D93+D94+D96+D97+D95</f>
        <v>23.420000000000005</v>
      </c>
      <c r="E98" s="44">
        <f t="shared" si="8"/>
        <v>22.719999999999992</v>
      </c>
      <c r="F98" s="44">
        <f t="shared" si="8"/>
        <v>93.032499999999999</v>
      </c>
      <c r="G98" s="44">
        <f>G91+G92+G93+G94+G96+G97+G95</f>
        <v>674.15</v>
      </c>
      <c r="H98" s="11"/>
    </row>
    <row r="99" spans="1:8">
      <c r="A99" s="54"/>
      <c r="B99" s="55" t="s">
        <v>101</v>
      </c>
      <c r="C99" s="11"/>
      <c r="D99" s="11"/>
      <c r="E99" s="11"/>
      <c r="F99" s="11"/>
      <c r="G99" s="11"/>
      <c r="H99" s="11"/>
    </row>
    <row r="100" spans="1:8">
      <c r="A100" s="25"/>
      <c r="B100" s="9" t="s">
        <v>13</v>
      </c>
      <c r="C100" s="10"/>
      <c r="D100" s="11"/>
      <c r="E100" s="11"/>
      <c r="F100" s="11"/>
      <c r="G100" s="11"/>
      <c r="H100" s="11"/>
    </row>
    <row r="101" spans="1:8" ht="15.75" customHeight="1">
      <c r="A101" s="54"/>
      <c r="B101" s="31" t="s">
        <v>103</v>
      </c>
      <c r="C101" s="13">
        <v>200</v>
      </c>
      <c r="D101" s="13">
        <f>5.31/150*200</f>
        <v>7.0799999999999992</v>
      </c>
      <c r="E101" s="13">
        <f>3.19/150*200</f>
        <v>4.253333333333333</v>
      </c>
      <c r="F101" s="13">
        <f>33.5/150*200</f>
        <v>44.666666666666664</v>
      </c>
      <c r="G101" s="13">
        <f>184.29/150*200</f>
        <v>245.71999999999997</v>
      </c>
      <c r="H101" s="33" t="s">
        <v>102</v>
      </c>
    </row>
    <row r="102" spans="1:8" ht="18" customHeight="1">
      <c r="A102" s="54"/>
      <c r="B102" s="31" t="s">
        <v>104</v>
      </c>
      <c r="C102" s="13">
        <v>200</v>
      </c>
      <c r="D102" s="13">
        <v>0.53</v>
      </c>
      <c r="E102" s="13">
        <v>0</v>
      </c>
      <c r="F102" s="13">
        <v>9.4700000000000006</v>
      </c>
      <c r="G102" s="13">
        <v>60</v>
      </c>
      <c r="H102" s="33" t="s">
        <v>17</v>
      </c>
    </row>
    <row r="103" spans="1:8">
      <c r="A103" s="54"/>
      <c r="B103" s="34" t="s">
        <v>18</v>
      </c>
      <c r="C103" s="72">
        <v>30</v>
      </c>
      <c r="D103" s="72">
        <v>2.09</v>
      </c>
      <c r="E103" s="72">
        <v>0.33</v>
      </c>
      <c r="F103" s="72">
        <v>13.8</v>
      </c>
      <c r="G103" s="72">
        <v>71.7</v>
      </c>
      <c r="H103" s="36" t="s">
        <v>19</v>
      </c>
    </row>
    <row r="104" spans="1:8">
      <c r="A104" s="54"/>
      <c r="B104" s="31" t="s">
        <v>144</v>
      </c>
      <c r="C104" s="13">
        <v>10</v>
      </c>
      <c r="D104" s="13">
        <v>0.1</v>
      </c>
      <c r="E104" s="13">
        <v>7.2</v>
      </c>
      <c r="F104" s="13">
        <v>0.13</v>
      </c>
      <c r="G104" s="13">
        <v>66</v>
      </c>
      <c r="H104" s="33" t="s">
        <v>20</v>
      </c>
    </row>
    <row r="105" spans="1:8">
      <c r="A105" s="54"/>
      <c r="B105" s="31" t="s">
        <v>98</v>
      </c>
      <c r="C105" s="12">
        <v>15</v>
      </c>
      <c r="D105" s="12">
        <v>5.48</v>
      </c>
      <c r="E105" s="13">
        <v>4.43</v>
      </c>
      <c r="F105" s="13">
        <v>0</v>
      </c>
      <c r="G105" s="13">
        <v>53.75</v>
      </c>
      <c r="H105" s="33" t="s">
        <v>22</v>
      </c>
    </row>
    <row r="106" spans="1:8">
      <c r="A106" s="54"/>
      <c r="B106" s="23" t="s">
        <v>89</v>
      </c>
      <c r="C106" s="37">
        <v>100</v>
      </c>
      <c r="D106" s="37">
        <v>0.4</v>
      </c>
      <c r="E106" s="37">
        <v>0.4</v>
      </c>
      <c r="F106" s="37">
        <v>9.8000000000000007</v>
      </c>
      <c r="G106" s="37">
        <v>47</v>
      </c>
      <c r="H106" s="11"/>
    </row>
    <row r="107" spans="1:8">
      <c r="A107" s="33"/>
      <c r="B107" s="24" t="s">
        <v>24</v>
      </c>
      <c r="C107" s="56">
        <f>C101+C102+C103+C104+C105+C106</f>
        <v>555</v>
      </c>
      <c r="D107" s="56">
        <f t="shared" ref="D107:G107" si="9">D101+D102+D103+D104+D105+D106</f>
        <v>15.68</v>
      </c>
      <c r="E107" s="56">
        <f t="shared" si="9"/>
        <v>16.61333333333333</v>
      </c>
      <c r="F107" s="56">
        <f t="shared" si="9"/>
        <v>77.86666666666666</v>
      </c>
      <c r="G107" s="56">
        <f t="shared" si="9"/>
        <v>544.16999999999996</v>
      </c>
      <c r="H107" s="11"/>
    </row>
    <row r="108" spans="1:8">
      <c r="A108" s="36"/>
      <c r="B108" s="39" t="s">
        <v>25</v>
      </c>
      <c r="C108" s="40"/>
      <c r="D108" s="24"/>
      <c r="E108" s="24"/>
      <c r="F108" s="24"/>
      <c r="G108" s="24"/>
      <c r="H108" s="11"/>
    </row>
    <row r="109" spans="1:8">
      <c r="A109" s="54"/>
      <c r="B109" s="31" t="s">
        <v>105</v>
      </c>
      <c r="C109" s="13">
        <v>60</v>
      </c>
      <c r="D109" s="13">
        <v>0.54</v>
      </c>
      <c r="E109" s="13">
        <v>0</v>
      </c>
      <c r="F109" s="13">
        <v>1.71</v>
      </c>
      <c r="G109" s="13">
        <v>10.199999999999999</v>
      </c>
      <c r="H109" s="33" t="s">
        <v>27</v>
      </c>
    </row>
    <row r="110" spans="1:8">
      <c r="A110" s="54"/>
      <c r="B110" s="31" t="s">
        <v>107</v>
      </c>
      <c r="C110" s="13">
        <v>200</v>
      </c>
      <c r="D110" s="13">
        <v>3.44</v>
      </c>
      <c r="E110" s="13">
        <v>3.92</v>
      </c>
      <c r="F110" s="13">
        <v>10.44</v>
      </c>
      <c r="G110" s="13">
        <v>86.8</v>
      </c>
      <c r="H110" s="33" t="s">
        <v>106</v>
      </c>
    </row>
    <row r="111" spans="1:8" ht="30">
      <c r="A111" s="54"/>
      <c r="B111" s="31" t="s">
        <v>143</v>
      </c>
      <c r="C111" s="13">
        <v>110</v>
      </c>
      <c r="D111" s="13">
        <v>8.9600000000000009</v>
      </c>
      <c r="E111" s="13">
        <v>16.11</v>
      </c>
      <c r="F111" s="13">
        <v>10.31</v>
      </c>
      <c r="G111" s="13">
        <v>223</v>
      </c>
      <c r="H111" s="33" t="s">
        <v>108</v>
      </c>
    </row>
    <row r="112" spans="1:8" ht="17.25" customHeight="1">
      <c r="A112" s="54"/>
      <c r="B112" s="31" t="s">
        <v>110</v>
      </c>
      <c r="C112" s="13">
        <v>150</v>
      </c>
      <c r="D112" s="13">
        <v>3.64</v>
      </c>
      <c r="E112" s="13">
        <v>4.22</v>
      </c>
      <c r="F112" s="13">
        <v>30.67</v>
      </c>
      <c r="G112" s="13">
        <v>199.95</v>
      </c>
      <c r="H112" s="33" t="s">
        <v>109</v>
      </c>
    </row>
    <row r="113" spans="1:8" ht="15.75" customHeight="1">
      <c r="A113" s="54"/>
      <c r="B113" s="31" t="s">
        <v>84</v>
      </c>
      <c r="C113" s="13">
        <v>200</v>
      </c>
      <c r="D113" s="13">
        <v>0.16</v>
      </c>
      <c r="E113" s="13">
        <v>0.16</v>
      </c>
      <c r="F113" s="13">
        <v>23.78</v>
      </c>
      <c r="G113" s="13">
        <v>97.6</v>
      </c>
      <c r="H113" s="33" t="s">
        <v>85</v>
      </c>
    </row>
    <row r="114" spans="1:8">
      <c r="A114" s="54"/>
      <c r="B114" s="34" t="s">
        <v>18</v>
      </c>
      <c r="C114" s="71">
        <v>20</v>
      </c>
      <c r="D114" s="71">
        <v>1.39</v>
      </c>
      <c r="E114" s="71">
        <f>0.33/30*20</f>
        <v>0.22000000000000003</v>
      </c>
      <c r="F114" s="71">
        <v>9.1999999999999993</v>
      </c>
      <c r="G114" s="71">
        <v>47.8</v>
      </c>
      <c r="H114" s="23" t="s">
        <v>19</v>
      </c>
    </row>
    <row r="115" spans="1:8">
      <c r="A115" s="54"/>
      <c r="B115" s="34" t="s">
        <v>36</v>
      </c>
      <c r="C115" s="73">
        <v>30</v>
      </c>
      <c r="D115" s="74">
        <v>1.96</v>
      </c>
      <c r="E115" s="74">
        <f>0.44/40*30</f>
        <v>0.32999999999999996</v>
      </c>
      <c r="F115" s="74">
        <v>13.82</v>
      </c>
      <c r="G115" s="74">
        <v>68.97</v>
      </c>
      <c r="H115" s="23" t="s">
        <v>19</v>
      </c>
    </row>
    <row r="116" spans="1:8">
      <c r="A116" s="54"/>
      <c r="B116" s="21" t="s">
        <v>24</v>
      </c>
      <c r="C116" s="44">
        <f>C109+C110+C111+C112+C114+C115+C113</f>
        <v>770</v>
      </c>
      <c r="D116" s="44">
        <f t="shared" ref="D116:G116" si="10">D109+D110+D111+D112+D114+D115+D113</f>
        <v>20.090000000000003</v>
      </c>
      <c r="E116" s="44">
        <f t="shared" si="10"/>
        <v>24.959999999999997</v>
      </c>
      <c r="F116" s="44">
        <f t="shared" si="10"/>
        <v>99.93</v>
      </c>
      <c r="G116" s="44">
        <f t="shared" si="10"/>
        <v>734.32</v>
      </c>
      <c r="H116" s="33"/>
    </row>
    <row r="117" spans="1:8">
      <c r="A117" s="54"/>
      <c r="B117" s="55" t="s">
        <v>111</v>
      </c>
      <c r="C117" s="11"/>
      <c r="D117" s="11"/>
      <c r="E117" s="11"/>
      <c r="F117" s="11"/>
      <c r="G117" s="11"/>
      <c r="H117" s="11"/>
    </row>
    <row r="118" spans="1:8">
      <c r="A118" s="25"/>
      <c r="B118" s="26" t="s">
        <v>13</v>
      </c>
      <c r="C118" s="10"/>
      <c r="D118" s="11"/>
      <c r="E118" s="11"/>
      <c r="F118" s="11"/>
      <c r="G118" s="11"/>
      <c r="H118" s="11"/>
    </row>
    <row r="119" spans="1:8" ht="29.25" customHeight="1">
      <c r="A119" s="54"/>
      <c r="B119" s="31" t="s">
        <v>113</v>
      </c>
      <c r="C119" s="13">
        <v>200</v>
      </c>
      <c r="D119" s="13">
        <f>5.88/150*200</f>
        <v>7.84</v>
      </c>
      <c r="E119" s="13">
        <f>5.45/150*200</f>
        <v>7.2666666666666675</v>
      </c>
      <c r="F119" s="13">
        <f>26.63/150*200</f>
        <v>35.506666666666661</v>
      </c>
      <c r="G119" s="13">
        <f>192.92/150*200</f>
        <v>257.22666666666669</v>
      </c>
      <c r="H119" s="33" t="s">
        <v>112</v>
      </c>
    </row>
    <row r="120" spans="1:8">
      <c r="A120" s="54"/>
      <c r="B120" s="34" t="s">
        <v>18</v>
      </c>
      <c r="C120" s="72">
        <v>30</v>
      </c>
      <c r="D120" s="72">
        <v>2.09</v>
      </c>
      <c r="E120" s="72">
        <v>0.33</v>
      </c>
      <c r="F120" s="72">
        <v>13.8</v>
      </c>
      <c r="G120" s="72">
        <v>71.7</v>
      </c>
      <c r="H120" s="36" t="s">
        <v>19</v>
      </c>
    </row>
    <row r="121" spans="1:8">
      <c r="A121" s="54"/>
      <c r="B121" s="31" t="s">
        <v>144</v>
      </c>
      <c r="C121" s="13">
        <v>10</v>
      </c>
      <c r="D121" s="13">
        <v>0.1</v>
      </c>
      <c r="E121" s="13">
        <v>7.2</v>
      </c>
      <c r="F121" s="13">
        <v>0.13</v>
      </c>
      <c r="G121" s="13">
        <v>66</v>
      </c>
      <c r="H121" s="33" t="s">
        <v>20</v>
      </c>
    </row>
    <row r="122" spans="1:8" ht="15.75" customHeight="1">
      <c r="A122" s="54"/>
      <c r="B122" s="31" t="s">
        <v>75</v>
      </c>
      <c r="C122" s="13">
        <v>200</v>
      </c>
      <c r="D122" s="13">
        <v>4.08</v>
      </c>
      <c r="E122" s="13">
        <v>3</v>
      </c>
      <c r="F122" s="13">
        <v>17.579999999999998</v>
      </c>
      <c r="G122" s="13">
        <v>118.6</v>
      </c>
      <c r="H122" s="33" t="s">
        <v>76</v>
      </c>
    </row>
    <row r="123" spans="1:8">
      <c r="A123" s="57"/>
      <c r="B123" s="45" t="s">
        <v>77</v>
      </c>
      <c r="C123" s="45">
        <v>200</v>
      </c>
      <c r="D123" s="45">
        <v>1</v>
      </c>
      <c r="E123" s="45">
        <v>0</v>
      </c>
      <c r="F123" s="45">
        <v>20.2</v>
      </c>
      <c r="G123" s="45">
        <v>84.8</v>
      </c>
      <c r="H123" s="11"/>
    </row>
    <row r="124" spans="1:8">
      <c r="A124" s="54"/>
      <c r="B124" s="24" t="s">
        <v>24</v>
      </c>
      <c r="C124" s="58">
        <f>C119+C120+C121+C122+C123</f>
        <v>640</v>
      </c>
      <c r="D124" s="58">
        <f t="shared" ref="D124:G124" si="11">D119+D120+D121+D122</f>
        <v>14.11</v>
      </c>
      <c r="E124" s="58">
        <f t="shared" si="11"/>
        <v>17.796666666666667</v>
      </c>
      <c r="F124" s="58">
        <f t="shared" si="11"/>
        <v>67.016666666666652</v>
      </c>
      <c r="G124" s="58">
        <f t="shared" si="11"/>
        <v>513.52666666666664</v>
      </c>
      <c r="H124" s="11"/>
    </row>
    <row r="125" spans="1:8">
      <c r="A125" s="36"/>
      <c r="B125" s="39" t="s">
        <v>25</v>
      </c>
      <c r="C125" s="40"/>
      <c r="D125" s="24"/>
      <c r="E125" s="24"/>
      <c r="F125" s="24"/>
      <c r="G125" s="24"/>
      <c r="H125" s="11"/>
    </row>
    <row r="126" spans="1:8" ht="15.75" customHeight="1">
      <c r="A126" s="54"/>
      <c r="B126" s="31" t="s">
        <v>115</v>
      </c>
      <c r="C126" s="13">
        <v>60</v>
      </c>
      <c r="D126" s="13">
        <v>0.4</v>
      </c>
      <c r="E126" s="13">
        <v>3.65</v>
      </c>
      <c r="F126" s="13">
        <v>1.0900000000000001</v>
      </c>
      <c r="G126" s="13">
        <v>38.79</v>
      </c>
      <c r="H126" s="33" t="s">
        <v>114</v>
      </c>
    </row>
    <row r="127" spans="1:8" ht="22.5" customHeight="1">
      <c r="A127" s="54"/>
      <c r="B127" s="33" t="s">
        <v>117</v>
      </c>
      <c r="C127" s="13">
        <v>200</v>
      </c>
      <c r="D127" s="13">
        <v>2.08</v>
      </c>
      <c r="E127" s="13">
        <v>2</v>
      </c>
      <c r="F127" s="13">
        <v>13.58</v>
      </c>
      <c r="G127" s="13">
        <v>80.64</v>
      </c>
      <c r="H127" s="33" t="s">
        <v>116</v>
      </c>
    </row>
    <row r="128" spans="1:8" ht="30">
      <c r="A128" s="54"/>
      <c r="B128" s="23" t="s">
        <v>119</v>
      </c>
      <c r="C128" s="12">
        <v>200</v>
      </c>
      <c r="D128" s="12">
        <v>17.25</v>
      </c>
      <c r="E128" s="12">
        <v>15</v>
      </c>
      <c r="F128" s="12">
        <v>7</v>
      </c>
      <c r="G128" s="12">
        <v>256</v>
      </c>
      <c r="H128" s="36" t="s">
        <v>118</v>
      </c>
    </row>
    <row r="129" spans="1:8" ht="18" customHeight="1">
      <c r="A129" s="54"/>
      <c r="B129" s="31" t="s">
        <v>53</v>
      </c>
      <c r="C129" s="13">
        <v>200</v>
      </c>
      <c r="D129" s="13">
        <v>1.1599999999999999</v>
      </c>
      <c r="E129" s="13">
        <v>0.3</v>
      </c>
      <c r="F129" s="13">
        <v>47.26</v>
      </c>
      <c r="G129" s="13">
        <v>196.38</v>
      </c>
      <c r="H129" s="33" t="s">
        <v>54</v>
      </c>
    </row>
    <row r="130" spans="1:8">
      <c r="A130" s="54"/>
      <c r="B130" s="34" t="s">
        <v>18</v>
      </c>
      <c r="C130" s="14">
        <v>20</v>
      </c>
      <c r="D130" s="14">
        <v>1.39</v>
      </c>
      <c r="E130" s="14">
        <f>0.33/30*20</f>
        <v>0.22000000000000003</v>
      </c>
      <c r="F130" s="14">
        <v>9.1999999999999993</v>
      </c>
      <c r="G130" s="14">
        <v>47.8</v>
      </c>
      <c r="H130" s="23" t="s">
        <v>19</v>
      </c>
    </row>
    <row r="131" spans="1:8">
      <c r="A131" s="54"/>
      <c r="B131" s="34" t="s">
        <v>36</v>
      </c>
      <c r="C131" s="19">
        <v>30</v>
      </c>
      <c r="D131" s="20">
        <v>1.96</v>
      </c>
      <c r="E131" s="20">
        <f>0.44/40*30</f>
        <v>0.32999999999999996</v>
      </c>
      <c r="F131" s="20">
        <v>13.82</v>
      </c>
      <c r="G131" s="20">
        <v>68.97</v>
      </c>
      <c r="H131" s="23" t="s">
        <v>19</v>
      </c>
    </row>
    <row r="132" spans="1:8">
      <c r="A132" s="33"/>
      <c r="B132" s="21" t="s">
        <v>24</v>
      </c>
      <c r="C132" s="44">
        <f>C126+C127+C128+C129+C130+C131</f>
        <v>710</v>
      </c>
      <c r="D132" s="44">
        <f t="shared" ref="D132:G132" si="12">D126+D127+D128+D129+D130+D131</f>
        <v>24.240000000000002</v>
      </c>
      <c r="E132" s="44">
        <f t="shared" si="12"/>
        <v>21.499999999999996</v>
      </c>
      <c r="F132" s="44">
        <f t="shared" si="12"/>
        <v>91.950000000000017</v>
      </c>
      <c r="G132" s="44">
        <f t="shared" si="12"/>
        <v>688.57999999999993</v>
      </c>
      <c r="H132" s="11"/>
    </row>
    <row r="133" spans="1:8">
      <c r="A133" s="33"/>
      <c r="B133" s="21"/>
      <c r="C133" s="44"/>
      <c r="D133" s="44"/>
      <c r="E133" s="44"/>
      <c r="F133" s="44"/>
      <c r="G133" s="44"/>
      <c r="H133" s="11"/>
    </row>
    <row r="134" spans="1:8">
      <c r="A134" s="33"/>
      <c r="B134" s="21"/>
      <c r="C134" s="44"/>
      <c r="D134" s="44"/>
      <c r="E134" s="44"/>
      <c r="F134" s="44"/>
      <c r="G134" s="44"/>
      <c r="H134" s="11"/>
    </row>
    <row r="135" spans="1:8">
      <c r="A135" s="54"/>
      <c r="B135" s="55" t="s">
        <v>120</v>
      </c>
      <c r="C135" s="11"/>
      <c r="D135" s="11"/>
      <c r="E135" s="11"/>
      <c r="F135" s="11"/>
      <c r="G135" s="11"/>
      <c r="H135" s="11"/>
    </row>
    <row r="136" spans="1:8">
      <c r="A136" s="25"/>
      <c r="B136" s="26" t="s">
        <v>13</v>
      </c>
      <c r="C136" s="10"/>
      <c r="D136" s="11"/>
      <c r="E136" s="11"/>
      <c r="F136" s="11"/>
      <c r="G136" s="11"/>
      <c r="H136" s="11"/>
    </row>
    <row r="137" spans="1:8" ht="17.25" customHeight="1">
      <c r="A137" s="54"/>
      <c r="B137" s="31" t="s">
        <v>121</v>
      </c>
      <c r="C137" s="13">
        <v>200</v>
      </c>
      <c r="D137" s="13">
        <f>5.53/150*200</f>
        <v>7.3733333333333331</v>
      </c>
      <c r="E137" s="13">
        <f>3.99/150*200</f>
        <v>5.32</v>
      </c>
      <c r="F137" s="13">
        <f>31.51/150*200</f>
        <v>42.013333333333335</v>
      </c>
      <c r="G137" s="13">
        <f>184.29/150*200</f>
        <v>245.71999999999997</v>
      </c>
      <c r="H137" s="33" t="s">
        <v>102</v>
      </c>
    </row>
    <row r="138" spans="1:8" ht="16.5" customHeight="1">
      <c r="A138" s="54"/>
      <c r="B138" s="31" t="s">
        <v>16</v>
      </c>
      <c r="C138" s="13">
        <v>200</v>
      </c>
      <c r="D138" s="13">
        <v>0.53</v>
      </c>
      <c r="E138" s="13">
        <v>0</v>
      </c>
      <c r="F138" s="13">
        <v>9.4700000000000006</v>
      </c>
      <c r="G138" s="13">
        <v>60</v>
      </c>
      <c r="H138" s="33" t="s">
        <v>17</v>
      </c>
    </row>
    <row r="139" spans="1:8">
      <c r="A139" s="54"/>
      <c r="B139" s="34" t="s">
        <v>18</v>
      </c>
      <c r="C139" s="72">
        <v>30</v>
      </c>
      <c r="D139" s="72">
        <v>2.09</v>
      </c>
      <c r="E139" s="72">
        <v>0.33</v>
      </c>
      <c r="F139" s="72">
        <v>13.8</v>
      </c>
      <c r="G139" s="72">
        <v>71.7</v>
      </c>
      <c r="H139" s="36" t="s">
        <v>19</v>
      </c>
    </row>
    <row r="140" spans="1:8">
      <c r="A140" s="54"/>
      <c r="B140" s="31" t="s">
        <v>144</v>
      </c>
      <c r="C140" s="13">
        <v>10</v>
      </c>
      <c r="D140" s="13">
        <v>0.1</v>
      </c>
      <c r="E140" s="13">
        <v>7.2</v>
      </c>
      <c r="F140" s="13">
        <v>0.13</v>
      </c>
      <c r="G140" s="13">
        <v>66</v>
      </c>
      <c r="H140" s="33" t="s">
        <v>20</v>
      </c>
    </row>
    <row r="141" spans="1:8">
      <c r="A141" s="54"/>
      <c r="B141" s="31" t="s">
        <v>98</v>
      </c>
      <c r="C141" s="12">
        <v>15</v>
      </c>
      <c r="D141" s="12">
        <v>5.48</v>
      </c>
      <c r="E141" s="13">
        <v>4.43</v>
      </c>
      <c r="F141" s="13">
        <v>0</v>
      </c>
      <c r="G141" s="13">
        <v>53.75</v>
      </c>
      <c r="H141" s="33" t="s">
        <v>22</v>
      </c>
    </row>
    <row r="142" spans="1:8">
      <c r="A142" s="54"/>
      <c r="B142" s="23" t="s">
        <v>122</v>
      </c>
      <c r="C142" s="37">
        <v>60</v>
      </c>
      <c r="D142" s="37">
        <v>6.76</v>
      </c>
      <c r="E142" s="37">
        <v>7.54</v>
      </c>
      <c r="F142" s="37">
        <v>71.58</v>
      </c>
      <c r="G142" s="37">
        <v>380.17</v>
      </c>
      <c r="H142" s="11"/>
    </row>
    <row r="143" spans="1:8">
      <c r="A143" s="54"/>
      <c r="B143" s="24" t="s">
        <v>24</v>
      </c>
      <c r="C143" s="38">
        <f>C137+C138+C139+C140+C141+C142</f>
        <v>515</v>
      </c>
      <c r="D143" s="38">
        <f t="shared" ref="D143:G143" si="13">D137+D138+D139+D140+D141</f>
        <v>15.573333333333332</v>
      </c>
      <c r="E143" s="38">
        <f t="shared" si="13"/>
        <v>17.28</v>
      </c>
      <c r="F143" s="38">
        <f t="shared" si="13"/>
        <v>65.413333333333327</v>
      </c>
      <c r="G143" s="38">
        <f t="shared" si="13"/>
        <v>497.16999999999996</v>
      </c>
      <c r="H143" s="36"/>
    </row>
    <row r="144" spans="1:8">
      <c r="A144" s="54"/>
      <c r="B144" s="39" t="s">
        <v>25</v>
      </c>
      <c r="C144" s="40"/>
      <c r="D144" s="24"/>
      <c r="E144" s="24"/>
      <c r="F144" s="24"/>
      <c r="G144" s="24"/>
      <c r="H144" s="36"/>
    </row>
    <row r="145" spans="1:8">
      <c r="A145" s="54"/>
      <c r="B145" s="31" t="s">
        <v>124</v>
      </c>
      <c r="C145" s="13">
        <v>60</v>
      </c>
      <c r="D145" s="13">
        <v>0.5</v>
      </c>
      <c r="E145" s="13">
        <v>3.66</v>
      </c>
      <c r="F145" s="13">
        <v>3.16</v>
      </c>
      <c r="G145" s="13">
        <v>47.64</v>
      </c>
      <c r="H145" s="33" t="s">
        <v>123</v>
      </c>
    </row>
    <row r="146" spans="1:8" ht="30">
      <c r="A146" s="54"/>
      <c r="B146" s="31" t="s">
        <v>125</v>
      </c>
      <c r="C146" s="16">
        <v>200</v>
      </c>
      <c r="D146" s="16">
        <v>1.58</v>
      </c>
      <c r="E146" s="16">
        <v>2.17</v>
      </c>
      <c r="F146" s="16">
        <v>9.69</v>
      </c>
      <c r="G146" s="16">
        <v>68.599999999999994</v>
      </c>
      <c r="H146" s="25" t="s">
        <v>65</v>
      </c>
    </row>
    <row r="147" spans="1:8" ht="31.5" customHeight="1">
      <c r="A147" s="54"/>
      <c r="B147" s="23" t="s">
        <v>127</v>
      </c>
      <c r="C147" s="12">
        <f>80/8*9</f>
        <v>90</v>
      </c>
      <c r="D147" s="12">
        <f>8.97/8*9</f>
        <v>10.09125</v>
      </c>
      <c r="E147" s="12">
        <f>10.5/8*9</f>
        <v>11.8125</v>
      </c>
      <c r="F147" s="12">
        <f>8.66/8*9</f>
        <v>9.7424999999999997</v>
      </c>
      <c r="G147" s="12">
        <f>203.75*0.9</f>
        <v>183.375</v>
      </c>
      <c r="H147" s="36" t="s">
        <v>126</v>
      </c>
    </row>
    <row r="148" spans="1:8" ht="13.5" customHeight="1">
      <c r="A148" s="54"/>
      <c r="B148" s="31" t="s">
        <v>68</v>
      </c>
      <c r="C148" s="13">
        <v>150</v>
      </c>
      <c r="D148" s="13">
        <v>5.52</v>
      </c>
      <c r="E148" s="13">
        <v>4.5199999999999996</v>
      </c>
      <c r="F148" s="13">
        <v>26.45</v>
      </c>
      <c r="G148" s="13">
        <v>168.45</v>
      </c>
      <c r="H148" s="33" t="s">
        <v>69</v>
      </c>
    </row>
    <row r="149" spans="1:8" ht="12.75" customHeight="1">
      <c r="A149" s="54"/>
      <c r="B149" s="31" t="s">
        <v>99</v>
      </c>
      <c r="C149" s="13">
        <v>200</v>
      </c>
      <c r="D149" s="42">
        <v>2</v>
      </c>
      <c r="E149" s="42">
        <v>0</v>
      </c>
      <c r="F149" s="42">
        <v>40.4</v>
      </c>
      <c r="G149" s="42">
        <v>196.6</v>
      </c>
      <c r="H149" s="33" t="s">
        <v>35</v>
      </c>
    </row>
    <row r="150" spans="1:8">
      <c r="A150" s="54"/>
      <c r="B150" s="34" t="s">
        <v>18</v>
      </c>
      <c r="C150" s="71">
        <v>20</v>
      </c>
      <c r="D150" s="71">
        <v>1.39</v>
      </c>
      <c r="E150" s="71">
        <f>0.33/30*20</f>
        <v>0.22000000000000003</v>
      </c>
      <c r="F150" s="71">
        <v>9.1999999999999993</v>
      </c>
      <c r="G150" s="71">
        <v>47.8</v>
      </c>
      <c r="H150" s="23" t="s">
        <v>19</v>
      </c>
    </row>
    <row r="151" spans="1:8">
      <c r="A151" s="54"/>
      <c r="B151" s="34" t="s">
        <v>36</v>
      </c>
      <c r="C151" s="73">
        <v>30</v>
      </c>
      <c r="D151" s="74">
        <v>1.96</v>
      </c>
      <c r="E151" s="74">
        <f>0.44/40*30</f>
        <v>0.32999999999999996</v>
      </c>
      <c r="F151" s="74">
        <v>13.82</v>
      </c>
      <c r="G151" s="74">
        <v>68.97</v>
      </c>
      <c r="H151" s="23" t="s">
        <v>19</v>
      </c>
    </row>
    <row r="152" spans="1:8">
      <c r="A152" s="54"/>
      <c r="B152" s="21" t="s">
        <v>24</v>
      </c>
      <c r="C152" s="44">
        <f>SUM(C145:C151)</f>
        <v>750</v>
      </c>
      <c r="D152" s="44">
        <f t="shared" ref="D152:G152" si="14">SUM(D145:D151)</f>
        <v>23.041250000000002</v>
      </c>
      <c r="E152" s="44">
        <f t="shared" si="14"/>
        <v>22.712499999999995</v>
      </c>
      <c r="F152" s="44">
        <f t="shared" si="14"/>
        <v>112.46250000000001</v>
      </c>
      <c r="G152" s="44">
        <f t="shared" si="14"/>
        <v>781.43499999999995</v>
      </c>
      <c r="H152" s="33"/>
    </row>
    <row r="153" spans="1:8">
      <c r="A153" s="54"/>
      <c r="B153" s="55" t="s">
        <v>128</v>
      </c>
      <c r="C153" s="11"/>
      <c r="D153" s="11"/>
      <c r="E153" s="11"/>
      <c r="F153" s="11"/>
      <c r="G153" s="11"/>
      <c r="H153" s="11"/>
    </row>
    <row r="154" spans="1:8">
      <c r="A154" s="54"/>
      <c r="B154" s="9" t="s">
        <v>13</v>
      </c>
      <c r="C154" s="10"/>
      <c r="D154" s="11"/>
      <c r="E154" s="11"/>
      <c r="F154" s="11"/>
      <c r="G154" s="11"/>
      <c r="H154" s="25"/>
    </row>
    <row r="155" spans="1:8" ht="35.25" customHeight="1">
      <c r="A155" s="54"/>
      <c r="B155" s="31" t="s">
        <v>130</v>
      </c>
      <c r="C155" s="13">
        <v>200</v>
      </c>
      <c r="D155" s="13">
        <f>10.34/150*200</f>
        <v>13.786666666666667</v>
      </c>
      <c r="E155" s="13">
        <f>5.16/150*200</f>
        <v>6.88</v>
      </c>
      <c r="F155" s="13">
        <f>29.29/150*200</f>
        <v>39.053333333333335</v>
      </c>
      <c r="G155" s="13">
        <f>277.5/150*200</f>
        <v>370</v>
      </c>
      <c r="H155" s="33" t="s">
        <v>129</v>
      </c>
    </row>
    <row r="156" spans="1:8" ht="18.75" customHeight="1">
      <c r="A156" s="54"/>
      <c r="B156" s="31" t="s">
        <v>41</v>
      </c>
      <c r="C156" s="13">
        <v>200</v>
      </c>
      <c r="D156" s="13">
        <v>3.17</v>
      </c>
      <c r="E156" s="13">
        <v>2.68</v>
      </c>
      <c r="F156" s="13">
        <v>15.95</v>
      </c>
      <c r="G156" s="13">
        <v>100.6</v>
      </c>
      <c r="H156" s="33" t="s">
        <v>42</v>
      </c>
    </row>
    <row r="157" spans="1:8">
      <c r="A157" s="54"/>
      <c r="B157" s="34" t="s">
        <v>18</v>
      </c>
      <c r="C157" s="71">
        <v>30</v>
      </c>
      <c r="D157" s="71">
        <v>2.09</v>
      </c>
      <c r="E157" s="71">
        <v>0.33</v>
      </c>
      <c r="F157" s="71">
        <v>13.8</v>
      </c>
      <c r="G157" s="71">
        <v>71.7</v>
      </c>
      <c r="H157" s="48" t="s">
        <v>19</v>
      </c>
    </row>
    <row r="158" spans="1:8">
      <c r="A158" s="54"/>
      <c r="B158" s="31" t="s">
        <v>40</v>
      </c>
      <c r="C158" s="15">
        <v>10</v>
      </c>
      <c r="D158" s="16">
        <v>0.1</v>
      </c>
      <c r="E158" s="16">
        <v>7.2</v>
      </c>
      <c r="F158" s="16">
        <v>0.13</v>
      </c>
      <c r="G158" s="16">
        <v>66</v>
      </c>
      <c r="H158" s="25" t="s">
        <v>20</v>
      </c>
    </row>
    <row r="159" spans="1:8">
      <c r="A159" s="54"/>
      <c r="B159" s="23" t="s">
        <v>61</v>
      </c>
      <c r="C159" s="11">
        <v>60</v>
      </c>
      <c r="D159" s="42">
        <v>6.76</v>
      </c>
      <c r="E159" s="42">
        <v>7.54</v>
      </c>
      <c r="F159" s="42">
        <v>71.58</v>
      </c>
      <c r="G159" s="42">
        <v>380.34</v>
      </c>
      <c r="H159" s="11"/>
    </row>
    <row r="160" spans="1:8">
      <c r="A160" s="54"/>
      <c r="B160" s="17" t="s">
        <v>24</v>
      </c>
      <c r="C160" s="51">
        <f>C155+C156+C157+C158+C159</f>
        <v>500</v>
      </c>
      <c r="D160" s="51">
        <f t="shared" ref="D160:G160" si="15">D155+D156+D157+D158</f>
        <v>19.146666666666668</v>
      </c>
      <c r="E160" s="51">
        <f t="shared" si="15"/>
        <v>17.09</v>
      </c>
      <c r="F160" s="51">
        <f t="shared" si="15"/>
        <v>68.933333333333323</v>
      </c>
      <c r="G160" s="51">
        <f t="shared" si="15"/>
        <v>608.30000000000007</v>
      </c>
      <c r="H160" s="48"/>
    </row>
    <row r="161" spans="1:11">
      <c r="A161" s="54"/>
      <c r="B161" s="39" t="s">
        <v>25</v>
      </c>
      <c r="C161" s="40"/>
      <c r="D161" s="24"/>
      <c r="E161" s="24"/>
      <c r="F161" s="24"/>
      <c r="G161" s="24"/>
      <c r="H161" s="36"/>
    </row>
    <row r="162" spans="1:11">
      <c r="A162" s="54"/>
      <c r="B162" s="31" t="s">
        <v>131</v>
      </c>
      <c r="C162" s="13">
        <v>60</v>
      </c>
      <c r="D162" s="13">
        <v>0.66</v>
      </c>
      <c r="E162" s="13">
        <v>0.12</v>
      </c>
      <c r="F162" s="13">
        <v>2.2799999999999998</v>
      </c>
      <c r="G162" s="13">
        <v>13.2</v>
      </c>
      <c r="H162" s="33" t="s">
        <v>27</v>
      </c>
    </row>
    <row r="163" spans="1:11" ht="16.5" customHeight="1">
      <c r="A163" s="54"/>
      <c r="B163" s="31" t="s">
        <v>46</v>
      </c>
      <c r="C163" s="13">
        <v>200</v>
      </c>
      <c r="D163" s="13">
        <v>1.86</v>
      </c>
      <c r="E163" s="13">
        <v>5.92</v>
      </c>
      <c r="F163" s="13">
        <v>8.4</v>
      </c>
      <c r="G163" s="13">
        <v>78.72</v>
      </c>
      <c r="H163" s="33" t="s">
        <v>47</v>
      </c>
    </row>
    <row r="164" spans="1:11" ht="18" customHeight="1">
      <c r="A164" s="54"/>
      <c r="B164" s="31" t="s">
        <v>133</v>
      </c>
      <c r="C164" s="13">
        <v>240</v>
      </c>
      <c r="D164" s="13">
        <v>14.06</v>
      </c>
      <c r="E164" s="13">
        <v>13.71</v>
      </c>
      <c r="F164" s="13">
        <v>18.95</v>
      </c>
      <c r="G164" s="13">
        <f>437.71/200*240</f>
        <v>525.25199999999995</v>
      </c>
      <c r="H164" s="33" t="s">
        <v>132</v>
      </c>
    </row>
    <row r="165" spans="1:11" ht="18.75" customHeight="1">
      <c r="A165" s="54"/>
      <c r="B165" s="31" t="s">
        <v>260</v>
      </c>
      <c r="C165" s="13">
        <v>200</v>
      </c>
      <c r="D165" s="13">
        <v>0.12</v>
      </c>
      <c r="E165" s="13">
        <v>0.08</v>
      </c>
      <c r="F165" s="13">
        <v>28.53</v>
      </c>
      <c r="G165" s="13">
        <v>101.5</v>
      </c>
      <c r="H165" s="33" t="s">
        <v>134</v>
      </c>
    </row>
    <row r="166" spans="1:11">
      <c r="A166" s="54"/>
      <c r="B166" s="34" t="s">
        <v>18</v>
      </c>
      <c r="C166" s="71">
        <v>20</v>
      </c>
      <c r="D166" s="71">
        <v>1.39</v>
      </c>
      <c r="E166" s="71">
        <f>0.33/30*20</f>
        <v>0.22000000000000003</v>
      </c>
      <c r="F166" s="71">
        <v>9.1999999999999993</v>
      </c>
      <c r="G166" s="71">
        <v>47.8</v>
      </c>
      <c r="H166" s="23" t="s">
        <v>19</v>
      </c>
    </row>
    <row r="167" spans="1:11">
      <c r="A167" s="54"/>
      <c r="B167" s="34" t="s">
        <v>36</v>
      </c>
      <c r="C167" s="73">
        <v>30</v>
      </c>
      <c r="D167" s="74">
        <v>1.96</v>
      </c>
      <c r="E167" s="74">
        <f>0.44/40*30</f>
        <v>0.32999999999999996</v>
      </c>
      <c r="F167" s="74">
        <v>13.82</v>
      </c>
      <c r="G167" s="74">
        <v>68.97</v>
      </c>
      <c r="H167" s="23" t="s">
        <v>19</v>
      </c>
    </row>
    <row r="168" spans="1:11">
      <c r="A168" s="33"/>
      <c r="B168" s="21" t="s">
        <v>24</v>
      </c>
      <c r="C168" s="44">
        <f>C162+C163+C164+C166+C167+C165</f>
        <v>750</v>
      </c>
      <c r="D168" s="44">
        <f t="shared" ref="D168:G168" si="16">D162+D163+D164+D166+D167+D165</f>
        <v>20.050000000000004</v>
      </c>
      <c r="E168" s="44">
        <f t="shared" si="16"/>
        <v>20.379999999999995</v>
      </c>
      <c r="F168" s="44">
        <f t="shared" si="16"/>
        <v>81.180000000000007</v>
      </c>
      <c r="G168" s="44">
        <f t="shared" si="16"/>
        <v>835.44199999999989</v>
      </c>
      <c r="H168" s="11"/>
    </row>
    <row r="169" spans="1:11">
      <c r="A169" s="54"/>
      <c r="B169" s="45" t="s">
        <v>136</v>
      </c>
      <c r="C169" s="11"/>
      <c r="D169" s="11"/>
      <c r="E169" s="11"/>
      <c r="F169" s="11"/>
      <c r="G169" s="11"/>
      <c r="H169" s="11"/>
    </row>
    <row r="170" spans="1:11">
      <c r="A170" s="25"/>
      <c r="B170" s="26" t="s">
        <v>13</v>
      </c>
      <c r="C170" s="10"/>
      <c r="D170" s="11"/>
      <c r="E170" s="11"/>
      <c r="F170" s="11"/>
      <c r="G170" s="11"/>
      <c r="H170" s="11"/>
      <c r="K170">
        <f>2350*0.35</f>
        <v>822.5</v>
      </c>
    </row>
    <row r="171" spans="1:11" ht="30" customHeight="1">
      <c r="A171" s="54"/>
      <c r="B171" s="31" t="s">
        <v>30</v>
      </c>
      <c r="C171" s="16">
        <v>90</v>
      </c>
      <c r="D171" s="16">
        <f>5.76/70*80</f>
        <v>6.5828571428571427</v>
      </c>
      <c r="E171" s="16">
        <f>6.8/70*80</f>
        <v>7.7714285714285714</v>
      </c>
      <c r="F171" s="16">
        <f>7.53/70*80</f>
        <v>8.6057142857142868</v>
      </c>
      <c r="G171" s="16">
        <f>169.75/70*90</f>
        <v>218.24999999999997</v>
      </c>
      <c r="H171" s="25" t="s">
        <v>31</v>
      </c>
      <c r="K171">
        <f>2350*0.2</f>
        <v>470</v>
      </c>
    </row>
    <row r="172" spans="1:11" ht="18" customHeight="1">
      <c r="A172" s="54"/>
      <c r="B172" s="31" t="s">
        <v>145</v>
      </c>
      <c r="C172" s="16">
        <v>160</v>
      </c>
      <c r="D172" s="16">
        <f>5.52/150*160</f>
        <v>5.8879999999999999</v>
      </c>
      <c r="E172" s="16">
        <f>2.52/150*160</f>
        <v>2.6879999999999997</v>
      </c>
      <c r="F172" s="16">
        <f>26.45/150*160</f>
        <v>28.213333333333335</v>
      </c>
      <c r="G172" s="16">
        <f>168.45/150*160</f>
        <v>179.68</v>
      </c>
      <c r="H172" s="25" t="s">
        <v>69</v>
      </c>
    </row>
    <row r="173" spans="1:11" ht="17.25" customHeight="1">
      <c r="A173" s="54"/>
      <c r="B173" s="31" t="s">
        <v>137</v>
      </c>
      <c r="C173" s="16">
        <v>200</v>
      </c>
      <c r="D173" s="16">
        <v>0.13</v>
      </c>
      <c r="E173" s="16">
        <v>0.02</v>
      </c>
      <c r="F173" s="16">
        <v>0.76</v>
      </c>
      <c r="G173" s="16">
        <v>24.17</v>
      </c>
      <c r="H173" s="25" t="s">
        <v>59</v>
      </c>
    </row>
    <row r="174" spans="1:11">
      <c r="A174" s="54"/>
      <c r="B174" s="34" t="s">
        <v>18</v>
      </c>
      <c r="C174" s="71">
        <v>30</v>
      </c>
      <c r="D174" s="71">
        <v>2.09</v>
      </c>
      <c r="E174" s="71">
        <v>0.33</v>
      </c>
      <c r="F174" s="71">
        <v>13.8</v>
      </c>
      <c r="G174" s="71">
        <v>71.7</v>
      </c>
      <c r="H174" s="48" t="s">
        <v>19</v>
      </c>
    </row>
    <row r="175" spans="1:11">
      <c r="A175" s="54"/>
      <c r="B175" s="31" t="s">
        <v>40</v>
      </c>
      <c r="C175" s="15">
        <v>10</v>
      </c>
      <c r="D175" s="16">
        <v>0.1</v>
      </c>
      <c r="E175" s="16">
        <v>7.2</v>
      </c>
      <c r="F175" s="16">
        <v>0.13</v>
      </c>
      <c r="G175" s="16">
        <v>66</v>
      </c>
      <c r="H175" s="25" t="s">
        <v>20</v>
      </c>
    </row>
    <row r="176" spans="1:11">
      <c r="A176" s="54"/>
      <c r="B176" s="17" t="s">
        <v>24</v>
      </c>
      <c r="C176" s="51">
        <f>C171+C172+C173+C174+C175</f>
        <v>490</v>
      </c>
      <c r="D176" s="51">
        <f>D171+D172+D173+D174+D175</f>
        <v>14.790857142857142</v>
      </c>
      <c r="E176" s="51">
        <f>E171+E172+E173+E174+E175</f>
        <v>18.009428571428572</v>
      </c>
      <c r="F176" s="51">
        <f>F171+F172+F173+F174+F175</f>
        <v>51.509047619047628</v>
      </c>
      <c r="G176" s="51">
        <f>G171+G172+G173+G174+G175</f>
        <v>559.79999999999995</v>
      </c>
      <c r="H176" s="48"/>
    </row>
    <row r="177" spans="1:8">
      <c r="A177" s="54"/>
      <c r="B177" s="17"/>
      <c r="C177" s="51"/>
      <c r="D177" s="51"/>
      <c r="E177" s="51"/>
      <c r="F177" s="51"/>
      <c r="G177" s="51"/>
      <c r="H177" s="48"/>
    </row>
    <row r="178" spans="1:8">
      <c r="A178" s="54"/>
      <c r="B178" s="17"/>
      <c r="C178" s="51"/>
      <c r="D178" s="51"/>
      <c r="E178" s="51"/>
      <c r="F178" s="51"/>
      <c r="G178" s="51"/>
      <c r="H178" s="48"/>
    </row>
    <row r="179" spans="1:8">
      <c r="A179" s="54"/>
      <c r="B179" s="39" t="s">
        <v>25</v>
      </c>
      <c r="C179" s="59"/>
      <c r="D179" s="17"/>
      <c r="E179" s="17"/>
      <c r="F179" s="17"/>
      <c r="G179" s="17"/>
      <c r="H179" s="48"/>
    </row>
    <row r="180" spans="1:8" ht="30">
      <c r="A180" s="54"/>
      <c r="B180" s="31" t="s">
        <v>90</v>
      </c>
      <c r="C180" s="16">
        <v>60</v>
      </c>
      <c r="D180" s="16">
        <v>0.61</v>
      </c>
      <c r="E180" s="16">
        <v>0.1</v>
      </c>
      <c r="F180" s="16">
        <v>3.85</v>
      </c>
      <c r="G180" s="16">
        <v>78.069999999999993</v>
      </c>
      <c r="H180" s="25" t="s">
        <v>91</v>
      </c>
    </row>
    <row r="181" spans="1:8" ht="28.5" customHeight="1">
      <c r="A181" s="54"/>
      <c r="B181" s="31" t="s">
        <v>259</v>
      </c>
      <c r="C181" s="16">
        <v>200</v>
      </c>
      <c r="D181" s="16">
        <v>5.76</v>
      </c>
      <c r="E181" s="16">
        <v>6.62</v>
      </c>
      <c r="F181" s="16">
        <v>10.5</v>
      </c>
      <c r="G181" s="16">
        <v>118.72</v>
      </c>
      <c r="H181" s="25" t="s">
        <v>138</v>
      </c>
    </row>
    <row r="182" spans="1:8" ht="45">
      <c r="A182" s="54"/>
      <c r="B182" s="31" t="s">
        <v>140</v>
      </c>
      <c r="C182" s="27">
        <v>90</v>
      </c>
      <c r="D182" s="27">
        <f>7.14/8*9</f>
        <v>8.0324999999999989</v>
      </c>
      <c r="E182" s="27">
        <f>10.11/8*9</f>
        <v>11.373749999999999</v>
      </c>
      <c r="F182" s="27">
        <f>7.78/8*9</f>
        <v>8.7524999999999995</v>
      </c>
      <c r="G182" s="27">
        <f>129.8/8*9</f>
        <v>146.02500000000001</v>
      </c>
      <c r="H182" s="25" t="s">
        <v>139</v>
      </c>
    </row>
    <row r="183" spans="1:8" ht="22.5" customHeight="1">
      <c r="A183" s="54"/>
      <c r="B183" s="31" t="s">
        <v>142</v>
      </c>
      <c r="C183" s="16">
        <v>150</v>
      </c>
      <c r="D183" s="16">
        <v>7.6</v>
      </c>
      <c r="E183" s="16">
        <v>4.0999999999999996</v>
      </c>
      <c r="F183" s="16">
        <v>37.64</v>
      </c>
      <c r="G183" s="16">
        <v>231.86</v>
      </c>
      <c r="H183" s="25" t="s">
        <v>141</v>
      </c>
    </row>
    <row r="184" spans="1:8" ht="30">
      <c r="A184" s="54"/>
      <c r="B184" s="31" t="s">
        <v>70</v>
      </c>
      <c r="C184" s="16">
        <v>200</v>
      </c>
      <c r="D184" s="16">
        <v>0.4</v>
      </c>
      <c r="E184" s="16">
        <v>0.27</v>
      </c>
      <c r="F184" s="16">
        <v>17.2</v>
      </c>
      <c r="G184" s="16">
        <v>72.8</v>
      </c>
      <c r="H184" s="25" t="s">
        <v>71</v>
      </c>
    </row>
    <row r="185" spans="1:8">
      <c r="A185" s="54"/>
      <c r="B185" s="34" t="s">
        <v>18</v>
      </c>
      <c r="C185" s="71">
        <v>20</v>
      </c>
      <c r="D185" s="71">
        <v>1.39</v>
      </c>
      <c r="E185" s="71">
        <f>0.33/30*20</f>
        <v>0.22000000000000003</v>
      </c>
      <c r="F185" s="71">
        <v>9.1999999999999993</v>
      </c>
      <c r="G185" s="71">
        <v>47.8</v>
      </c>
      <c r="H185" s="23" t="s">
        <v>19</v>
      </c>
    </row>
    <row r="186" spans="1:8">
      <c r="A186" s="54"/>
      <c r="B186" s="34" t="s">
        <v>36</v>
      </c>
      <c r="C186" s="73">
        <v>30</v>
      </c>
      <c r="D186" s="74">
        <v>1.96</v>
      </c>
      <c r="E186" s="74">
        <f>0.44/40*30</f>
        <v>0.32999999999999996</v>
      </c>
      <c r="F186" s="74">
        <v>13.82</v>
      </c>
      <c r="G186" s="74">
        <v>68.97</v>
      </c>
      <c r="H186" s="23" t="s">
        <v>19</v>
      </c>
    </row>
    <row r="187" spans="1:8">
      <c r="A187" s="25"/>
      <c r="B187" s="28" t="s">
        <v>24</v>
      </c>
      <c r="C187" s="61">
        <f>C180+C181+C182+C183+C184+C185+C186</f>
        <v>750</v>
      </c>
      <c r="D187" s="61">
        <f t="shared" ref="D187:G187" si="17">D180+D181+D182+D183+D184+D185+D186</f>
        <v>25.752499999999998</v>
      </c>
      <c r="E187" s="61">
        <f t="shared" si="17"/>
        <v>23.013749999999998</v>
      </c>
      <c r="F187" s="61">
        <f t="shared" si="17"/>
        <v>100.96250000000001</v>
      </c>
      <c r="G187" s="61">
        <f t="shared" si="17"/>
        <v>764.24499999999989</v>
      </c>
      <c r="H187" s="11"/>
    </row>
    <row r="189" spans="1:8">
      <c r="B189" t="s">
        <v>257</v>
      </c>
      <c r="C189" s="75">
        <f>(C176+C160+C143+C124+C107+C89+C73+C56+C35+C18)/10</f>
        <v>545.5</v>
      </c>
      <c r="D189">
        <f>+(D185+D166+D150+D130+D114+D96+D79+D63+D43+D25)/10</f>
        <v>1.3900000000000001</v>
      </c>
      <c r="E189">
        <f>+(E185+E166+E150+E130+E114+E96+E79+E63+E43+E25)/10</f>
        <v>0.22000000000000003</v>
      </c>
      <c r="F189">
        <f>+(F185+F166+F150+F130+F114+F96+F79+F63+F43+F25)/10</f>
        <v>9.2000000000000011</v>
      </c>
      <c r="G189" s="75">
        <f>(G176+G160+G143+G124+G107+G89+G73+G56+G35+G18)/10</f>
        <v>623.16666666666674</v>
      </c>
    </row>
    <row r="191" spans="1:8">
      <c r="B191" t="s">
        <v>258</v>
      </c>
      <c r="C191">
        <f>+(C187+C168+C152+C132+C116+C98+C81+C65+C45+C27)/10</f>
        <v>749</v>
      </c>
      <c r="D191">
        <f>+(D187+D168+D152+D132+D116+D98+D81+D65+D45+D27)/10</f>
        <v>22.525625000000002</v>
      </c>
      <c r="E191">
        <f>+(E187+E168+E152+E132+E116+E98+E81+E65+E45+E27)/10</f>
        <v>22.531749999999995</v>
      </c>
      <c r="F191">
        <f>+(F187+F168+F152+F132+F116+F98+F81+F65+F45+F27)/10</f>
        <v>94.571250000000006</v>
      </c>
      <c r="G191">
        <f>+(G187+G168+G152+G132+G116+G98+G81+G65+G45+G27)/10</f>
        <v>727.96420000000001</v>
      </c>
    </row>
  </sheetData>
  <mergeCells count="14">
    <mergeCell ref="A28:B28"/>
    <mergeCell ref="A48:B48"/>
    <mergeCell ref="A66:B66"/>
    <mergeCell ref="A82:B82"/>
    <mergeCell ref="E4:H4"/>
    <mergeCell ref="A5:H5"/>
    <mergeCell ref="A6:H6"/>
    <mergeCell ref="A8:B8"/>
    <mergeCell ref="A9:A10"/>
    <mergeCell ref="B9:B10"/>
    <mergeCell ref="C9:C10"/>
    <mergeCell ref="D9:F9"/>
    <mergeCell ref="G9:G10"/>
    <mergeCell ref="H9:H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 10</vt:lpstr>
      <vt:lpstr>ассортимент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2022-09-28T16:51:06Z</dcterms:modified>
</cp:coreProperties>
</file>